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5600" windowHeight="9528" tabRatio="909" activeTab="0"/>
  </bookViews>
  <sheets>
    <sheet name="Riepilogo" sheetId="1" r:id="rId1"/>
    <sheet name="Istruzioni" sheetId="2" r:id="rId2"/>
    <sheet name="Valore OMI_Usi" sheetId="3" r:id="rId3"/>
    <sheet name="Conversione OMI" sheetId="4" r:id="rId4"/>
    <sheet name="U1 e U2" sheetId="5" r:id="rId5"/>
    <sheet name="Monetizzazioni" sheetId="6" r:id="rId6"/>
    <sheet name="QCC_Scheda A" sheetId="7" r:id="rId7"/>
    <sheet name="QCC_Scheda B" sheetId="8" r:id="rId8"/>
    <sheet name="QCC_Scheda C" sheetId="9" r:id="rId9"/>
    <sheet name="QCC_Scheda D" sheetId="10" r:id="rId10"/>
    <sheet name="CD_U1_U2_Monetizz." sheetId="11" r:id="rId11"/>
    <sheet name="QCC per CD resid" sheetId="12" r:id="rId12"/>
    <sheet name="QCC per CD  NON resid" sheetId="13" r:id="rId13"/>
    <sheet name="Contributi D e S" sheetId="14" r:id="rId14"/>
  </sheets>
  <definedNames>
    <definedName name="_xlnm.Print_Area" localSheetId="10">'CD_U1_U2_Monetizz.'!$D$2:$CD$80</definedName>
    <definedName name="_xlnm.Print_Area" localSheetId="13">'Contributi D e S'!$C$3:$Z$53</definedName>
    <definedName name="_xlnm.Print_Area" localSheetId="3">'Conversione OMI'!$C$2:$AN$65</definedName>
    <definedName name="_xlnm.Print_Area" localSheetId="1">'Istruzioni'!$B$1:$AL$87</definedName>
    <definedName name="_xlnm.Print_Area" localSheetId="5">'Monetizzazioni'!$B$2:$Q$33</definedName>
    <definedName name="_xlnm.Print_Area" localSheetId="12">'QCC per CD  NON resid'!$D$2:$AE$64</definedName>
    <definedName name="_xlnm.Print_Area" localSheetId="11">'QCC per CD resid'!$D$2:$AN$125</definedName>
    <definedName name="_xlnm.Print_Area" localSheetId="6">'QCC_Scheda A'!$C$3:$AO$119</definedName>
    <definedName name="_xlnm.Print_Area" localSheetId="7">'QCC_Scheda B'!$C$3:$FF$77</definedName>
    <definedName name="_xlnm.Print_Area" localSheetId="8">'QCC_Scheda C'!$B$4:$AI$56</definedName>
    <definedName name="_xlnm.Print_Area" localSheetId="9">'QCC_Scheda D'!$E$3:$AU$72</definedName>
    <definedName name="_xlnm.Print_Area" localSheetId="0">'Riepilogo'!$B$2:$L$80</definedName>
    <definedName name="_xlnm.Print_Area" localSheetId="4">'U1 e U2'!$J$2:$GM$90</definedName>
    <definedName name="_xlnm.Print_Area" localSheetId="2">'Valore OMI_Usi'!$E$2:$AI$50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<sst xmlns="http://schemas.openxmlformats.org/spreadsheetml/2006/main" count="1254" uniqueCount="550">
  <si>
    <t>dal sito "Agenzia delle entrate" con indicazione del semestre di riferimento ;</t>
  </si>
  <si>
    <t>riduzione</t>
  </si>
  <si>
    <t>-</t>
  </si>
  <si>
    <t>Calcolo QCC per interventi su edifici esistenti. Categoria funzionale: residenza</t>
  </si>
  <si>
    <t>a) Categoria funzionale residenziale</t>
  </si>
  <si>
    <t>b) Categoria funzionale turistico ricettiva</t>
  </si>
  <si>
    <t>c) Categoria funzionale produttiva</t>
  </si>
  <si>
    <t>interventi &lt; 7000 mc</t>
  </si>
  <si>
    <t>PU</t>
  </si>
  <si>
    <t>DT</t>
  </si>
  <si>
    <t>Interventi &lt; 7000 mc</t>
  </si>
  <si>
    <t>Interventi &gt; 7000 mc</t>
  </si>
  <si>
    <t>interventi  &gt;7000 mc</t>
  </si>
  <si>
    <t>U1 dovuti</t>
  </si>
  <si>
    <t>U2 dovuti</t>
  </si>
  <si>
    <t>d) Categoria funzionale direzionale</t>
  </si>
  <si>
    <t>somma</t>
  </si>
  <si>
    <t>e) Categoria funzionale commerciale</t>
  </si>
  <si>
    <t>Abitazioni di lusso</t>
  </si>
  <si>
    <t>bevande: bar, ristoranti, trattorie, pizzerie);</t>
  </si>
  <si>
    <t>f) Categoria funzionale rurale</t>
  </si>
  <si>
    <t>relativi impianti e attrezzature, aziendali o interaziendali), agriturismi e</t>
  </si>
  <si>
    <t>attività connesse.</t>
  </si>
  <si>
    <t xml:space="preserve">(1a) </t>
  </si>
  <si>
    <t xml:space="preserve">(1b) </t>
  </si>
  <si>
    <t xml:space="preserve">(5a) </t>
  </si>
  <si>
    <t xml:space="preserve">(5b) </t>
  </si>
  <si>
    <t xml:space="preserve">(2a) </t>
  </si>
  <si>
    <t xml:space="preserve">(2b) </t>
  </si>
  <si>
    <t xml:space="preserve">(2c) </t>
  </si>
  <si>
    <t xml:space="preserve">(2d) </t>
  </si>
  <si>
    <t xml:space="preserve">(3a) </t>
  </si>
  <si>
    <t xml:space="preserve">(3b) </t>
  </si>
  <si>
    <t>(6)</t>
  </si>
  <si>
    <t xml:space="preserve">(7a) </t>
  </si>
  <si>
    <t xml:space="preserve">(7b) </t>
  </si>
  <si>
    <t xml:space="preserve">   €</t>
  </si>
  <si>
    <t>= ……. €/mq</t>
  </si>
  <si>
    <t>(1+M/100)</t>
  </si>
  <si>
    <t xml:space="preserve">(7c) </t>
  </si>
  <si>
    <t xml:space="preserve">(7d) </t>
  </si>
  <si>
    <t xml:space="preserve">(4a) </t>
  </si>
  <si>
    <t xml:space="preserve">(4b) </t>
  </si>
  <si>
    <t xml:space="preserve">(4c) </t>
  </si>
  <si>
    <t xml:space="preserve">(4d) </t>
  </si>
  <si>
    <t xml:space="preserve">(4e) </t>
  </si>
  <si>
    <t>distribuzione di carburanti (stazioni di servizio);</t>
  </si>
  <si>
    <t xml:space="preserve">(4f) </t>
  </si>
  <si>
    <t>somma ded</t>
  </si>
  <si>
    <t xml:space="preserve"> %</t>
  </si>
  <si>
    <t xml:space="preserve">(4g) </t>
  </si>
  <si>
    <t>Calcolo % sa/su</t>
  </si>
  <si>
    <t xml:space="preserve">Punto 5.3.12 Delibera O.d.g. 109/2019 _  All’interno del territorio urbanizzato, la QCC è ridotta  del 35 per cento rispetto a quello previsto per le nuove costruzioni, per gli interventi di ristrutturazione urbanistica ed edilizia, addensamento o sostituzione urbana, e per interventi di recupero o riuso di immobili dismessi o in via di dismissione. </t>
  </si>
  <si>
    <t xml:space="preserve">Punto 5.3.12 Delibera O.d.g. 109/2019 _  All’interno del territorio urbanizzato, la QCC è ridotta  del 35 per cento rispetto a quello previsto per gli interventi di ristrutturazione urbanistica ed edilizia, addensamento o sostituzione urbana, e per interventi di recupero o riuso di immobili dismessi o in via di dismissione. </t>
  </si>
  <si>
    <t>Punto 5.5.2 Delibera O.d.g. 109/2019 per la funzione commerciale , percentuale assunta 10%</t>
  </si>
  <si>
    <t>Punto 5.5.2 Delibera O.d.g. 109/2019 per la funzione turistica ricettiva , percentuale assunta 10%</t>
  </si>
  <si>
    <t>Punto 5.5.2 Delibera O.d.g. 109/2019 per la funzione direzionale o fornitrice di servizi, di carattere non artigianale , percentuale assunta 7%</t>
  </si>
  <si>
    <t>attività di pubblico esercizio (esercizi di somministrazione di alimenti e</t>
  </si>
  <si>
    <t xml:space="preserve">(5c) </t>
  </si>
  <si>
    <t>presidio e coltivazione dei fondi, orticoltura, floricoltura e silvicoltura (e</t>
  </si>
  <si>
    <t xml:space="preserve">(8) </t>
  </si>
  <si>
    <t>1 posto auto/500 mq</t>
  </si>
  <si>
    <t>Valore OMI massimo uso di progetto</t>
  </si>
  <si>
    <t>Valore OMI minimo uso di progetto</t>
  </si>
  <si>
    <t>Valore OMI massimo uso legittimo</t>
  </si>
  <si>
    <t>Valore OMI minimo uso legittimo</t>
  </si>
  <si>
    <t>N.B.: I valori OMI da considerare sono riferiti allo stato conservativo "Ottimo" , in caso non sia contemplato lo stato conservativo ottimo o la tipologia edilizia esistente vedi punto 5.1.2 o 5.1.3. Delibera O.d.g. 109/2019</t>
  </si>
  <si>
    <t>a)</t>
  </si>
  <si>
    <t>b)</t>
  </si>
  <si>
    <t>c)</t>
  </si>
  <si>
    <t xml:space="preserve">Classe I -        M= </t>
  </si>
  <si>
    <t xml:space="preserve">Classe II -       M= </t>
  </si>
  <si>
    <t>Classe III -      M=</t>
  </si>
  <si>
    <t>Classe IV -      M=</t>
  </si>
  <si>
    <t>Classe V -       M=</t>
  </si>
  <si>
    <t>Classe VI -      M=</t>
  </si>
  <si>
    <t>Classe VII -     M=</t>
  </si>
  <si>
    <t>Classe VIII -    M=</t>
  </si>
  <si>
    <t>Classe IX -      M=</t>
  </si>
  <si>
    <t>Classe X -       M=</t>
  </si>
  <si>
    <t>Classe XI -      M=</t>
  </si>
  <si>
    <t>Tot.</t>
  </si>
  <si>
    <t>Punto 1.4.6 Delibera O.d.g. 109/2019</t>
  </si>
  <si>
    <t>Punto 1.4.1 Delibera O.d.g. 109/2019</t>
  </si>
  <si>
    <t xml:space="preserve">All’interno del territorio urbanizzato, U1 U2 sono ridotte  del 35 per cento rispetto a quello previsto per le nuove costruzioni, per gli interventi di ristrutturazione urbanistica ed edilizia, addensamento o sostituzione urbana, e per interventi di recupero o riuso di immobili dismessi o in via di dismissione. </t>
  </si>
  <si>
    <t>Riduzione U1 e U2 del 20% per attività industriali ed artigianali in aree ecologicamente attrezzate</t>
  </si>
  <si>
    <t>Euro</t>
  </si>
  <si>
    <t>B*P</t>
  </si>
  <si>
    <r>
      <t>M</t>
    </r>
    <r>
      <rPr>
        <i/>
        <sz val="9"/>
        <rFont val="Arial"/>
        <family val="2"/>
      </rPr>
      <t xml:space="preserve"> è la maggiorazione calcolata rispetto alla classe edificio</t>
    </r>
  </si>
  <si>
    <r>
      <t>P</t>
    </r>
    <r>
      <rPr>
        <i/>
        <sz val="9"/>
        <rFont val="Arial"/>
        <family val="2"/>
      </rPr>
      <t xml:space="preserve"> è la percentuale in relazione al costo di costruzione convenzionale unitario A (vedi Tab. 6 seguente)</t>
    </r>
  </si>
  <si>
    <t>DM 2 agosto 1969, o agli edifici provvisti di eliporto, il valore percentuale P è pari al 20%.</t>
  </si>
  <si>
    <t>In riferimento alle unità immobiliari aventi le caratteristiche delle abitazioni di lusso, così come definite dal</t>
  </si>
  <si>
    <t>A*P</t>
  </si>
  <si>
    <t>Spuntare se vale la condizione</t>
  </si>
  <si>
    <t>Muri portanti</t>
  </si>
  <si>
    <t>D(€)</t>
  </si>
  <si>
    <t>Formula dove</t>
  </si>
  <si>
    <t>Contributo per la sistemazione dei luoghi ove ne siano alterate le caratteristiche “S”</t>
  </si>
  <si>
    <t>Contributo per il trattamento e lo smaltimento dei rifiuti solidi "D"</t>
  </si>
  <si>
    <t>A*</t>
  </si>
  <si>
    <t>(i) *</t>
  </si>
  <si>
    <t>Td è la tariffa base è quantificata pari a 4,00 € per mq di SL (Superfice lorda)</t>
  </si>
  <si>
    <t>Ts è la tariffa base è quantificata pari a 3,00 € per mq di SL (Superfice lorda)</t>
  </si>
  <si>
    <t>Totale QCC</t>
  </si>
  <si>
    <t>Riduzione</t>
  </si>
  <si>
    <t xml:space="preserve">Aree esterne al T.U. </t>
  </si>
  <si>
    <t>Territorio urbanizzato (T.U.)</t>
  </si>
  <si>
    <t>Aree permeabili ricomprese all’interno del T.U. non dotate di infrastrutture per l’urbanizzazione</t>
  </si>
  <si>
    <t>A * SC *</t>
  </si>
  <si>
    <t>Categorie funzionali/Localizzazione intervento/Tipo di intervento</t>
  </si>
  <si>
    <t>U1/U2</t>
  </si>
  <si>
    <t>L’unità di superficie per la determinazione di D ed S è la Superficie lorda (SL).</t>
  </si>
  <si>
    <t xml:space="preserve">Formula </t>
  </si>
  <si>
    <t>D= Td x Kd x SL</t>
  </si>
  <si>
    <t xml:space="preserve">D.M. 5 settembre 1994 “Elenco industrie insalubri di cui all’art. 216 del Testo Unico </t>
  </si>
  <si>
    <t>delle Leggi Sanitarie”,</t>
  </si>
  <si>
    <t>S= Ts x Ks x SL</t>
  </si>
  <si>
    <t xml:space="preserve">impermeabilizzate del suolo rispetto allo stato di fatto o modifiche planivolumetriche </t>
  </si>
  <si>
    <t>del terreno,</t>
  </si>
  <si>
    <t>Sono esentate dal pagamento dei contributi D e S:</t>
  </si>
  <si>
    <t>u1+u2</t>
  </si>
  <si>
    <t>u1</t>
  </si>
  <si>
    <t>u2</t>
  </si>
  <si>
    <t>1a</t>
  </si>
  <si>
    <t>1b</t>
  </si>
  <si>
    <t>2a</t>
  </si>
  <si>
    <t>2b</t>
  </si>
  <si>
    <t>2c</t>
  </si>
  <si>
    <t>2d</t>
  </si>
  <si>
    <t>3a</t>
  </si>
  <si>
    <t>3b</t>
  </si>
  <si>
    <t>4a</t>
  </si>
  <si>
    <t>4b</t>
  </si>
  <si>
    <t>4c</t>
  </si>
  <si>
    <t>4d</t>
  </si>
  <si>
    <t>4e</t>
  </si>
  <si>
    <t>4f</t>
  </si>
  <si>
    <t>4g</t>
  </si>
  <si>
    <t>5a</t>
  </si>
  <si>
    <t>5b</t>
  </si>
  <si>
    <t>5c</t>
  </si>
  <si>
    <t>7a</t>
  </si>
  <si>
    <t>7b</t>
  </si>
  <si>
    <t>7c</t>
  </si>
  <si>
    <t>7d</t>
  </si>
  <si>
    <t>le attività artigianali di servizio alla casa e alla persona definite dagli strumenti urbanistici comunali;</t>
  </si>
  <si>
    <t>le attività estrattive.</t>
  </si>
  <si>
    <t xml:space="preserve">&gt; 4.500,01  </t>
  </si>
  <si>
    <t>% di i oltre 50:</t>
  </si>
  <si>
    <t>Punto 1.3.1 Delibera O.d.g. 109/2019</t>
  </si>
  <si>
    <t>QCC =</t>
  </si>
  <si>
    <t>Utilizzato su +(sa *60%)</t>
  </si>
  <si>
    <t xml:space="preserve">QCC = </t>
  </si>
  <si>
    <t>SU=</t>
  </si>
  <si>
    <t>SA=</t>
  </si>
  <si>
    <t>SC=</t>
  </si>
  <si>
    <t>=</t>
  </si>
  <si>
    <t>€</t>
  </si>
  <si>
    <t>dove :</t>
  </si>
  <si>
    <t>Categoria funzionale: residenza</t>
  </si>
  <si>
    <t>Calcolo QCC per interventi su edifici esistenti.</t>
  </si>
  <si>
    <t>Categoria funzionale: commerciali,  turistico ricettive, direzionali o fornitrici di servizi, di carattere non artigianale</t>
  </si>
  <si>
    <t>Uso</t>
  </si>
  <si>
    <t>Categoria</t>
  </si>
  <si>
    <t>Td (€)</t>
  </si>
  <si>
    <t>S</t>
  </si>
  <si>
    <t>Ts (€)</t>
  </si>
  <si>
    <t>Ks</t>
  </si>
  <si>
    <r>
      <t>Kd = 1,5</t>
    </r>
    <r>
      <rPr>
        <i/>
        <sz val="9"/>
        <rFont val="Arial"/>
        <family val="2"/>
      </rPr>
      <t xml:space="preserve"> per attività industriali comprese nell’elenco di cui alla Parte I, lettera c, del </t>
    </r>
  </si>
  <si>
    <r>
      <t>Kd = 1</t>
    </r>
    <r>
      <rPr>
        <i/>
        <sz val="9"/>
        <rFont val="Arial"/>
        <family val="2"/>
      </rPr>
      <t xml:space="preserve"> per tutte le altre attività.</t>
    </r>
  </si>
  <si>
    <r>
      <t>Ks = 1,5</t>
    </r>
    <r>
      <rPr>
        <i/>
        <sz val="9"/>
        <rFont val="Arial"/>
        <family val="2"/>
      </rPr>
      <t xml:space="preserve"> per tutti gli interventi che prevedono un incremento delle superfici </t>
    </r>
  </si>
  <si>
    <r>
      <t>Ks = 0,5</t>
    </r>
    <r>
      <rPr>
        <i/>
        <sz val="9"/>
        <rFont val="Arial"/>
        <family val="2"/>
      </rPr>
      <t xml:space="preserve"> per gli interventi che prevedono quote di desigillazione e riduzione della </t>
    </r>
  </si>
  <si>
    <t xml:space="preserve">a) </t>
  </si>
  <si>
    <t>Dotazioni</t>
  </si>
  <si>
    <r>
      <t xml:space="preserve">VOMI </t>
    </r>
    <r>
      <rPr>
        <b/>
        <vertAlign val="subscript"/>
        <sz val="8"/>
        <rFont val="Arial"/>
        <family val="2"/>
      </rPr>
      <t>medio</t>
    </r>
  </si>
  <si>
    <r>
      <t xml:space="preserve">VM </t>
    </r>
    <r>
      <rPr>
        <b/>
        <vertAlign val="subscript"/>
        <sz val="8"/>
        <rFont val="Arial"/>
        <family val="2"/>
      </rPr>
      <t>V</t>
    </r>
  </si>
  <si>
    <r>
      <t xml:space="preserve">VM </t>
    </r>
    <r>
      <rPr>
        <b/>
        <vertAlign val="subscript"/>
        <sz val="8"/>
        <rFont val="Arial"/>
        <family val="2"/>
      </rPr>
      <t>PU</t>
    </r>
  </si>
  <si>
    <r>
      <t>Ks = 1</t>
    </r>
    <r>
      <rPr>
        <i/>
        <sz val="9"/>
        <rFont val="Arial"/>
        <family val="2"/>
      </rPr>
      <t xml:space="preserve"> nei restanti casi.</t>
    </r>
  </si>
  <si>
    <r>
      <t>I Contributi "</t>
    </r>
    <r>
      <rPr>
        <b/>
        <i/>
        <sz val="9"/>
        <rFont val="Arial"/>
        <family val="2"/>
      </rPr>
      <t>D</t>
    </r>
    <r>
      <rPr>
        <i/>
        <sz val="9"/>
        <rFont val="Arial"/>
        <family val="2"/>
      </rPr>
      <t>" e "</t>
    </r>
    <r>
      <rPr>
        <b/>
        <i/>
        <sz val="9"/>
        <rFont val="Arial"/>
        <family val="2"/>
      </rPr>
      <t>S</t>
    </r>
    <r>
      <rPr>
        <i/>
        <sz val="9"/>
        <rFont val="Arial"/>
        <family val="2"/>
      </rPr>
      <t>" sono da corrispondere:</t>
    </r>
  </si>
  <si>
    <t>(B * P)</t>
  </si>
  <si>
    <t xml:space="preserve"> * SC</t>
  </si>
  <si>
    <r>
      <t>B</t>
    </r>
    <r>
      <rPr>
        <i/>
        <sz val="9"/>
        <rFont val="Arial"/>
        <family val="2"/>
      </rPr>
      <t xml:space="preserve"> è il costo di costruzione unitario maggiorato </t>
    </r>
  </si>
  <si>
    <r>
      <t>P</t>
    </r>
    <r>
      <rPr>
        <i/>
        <sz val="9"/>
        <rFont val="Arial"/>
        <family val="2"/>
      </rPr>
      <t xml:space="preserve"> è la percentuale in relazione al costo di costruzione unitario maggiorato B (vedi Tabella 4 seguente)</t>
    </r>
  </si>
  <si>
    <r>
      <t>SC</t>
    </r>
    <r>
      <rPr>
        <i/>
        <sz val="9"/>
        <rFont val="Arial"/>
        <family val="2"/>
      </rPr>
      <t xml:space="preserve"> è la superficie complessiva</t>
    </r>
  </si>
  <si>
    <t>abitazioni di lusso</t>
  </si>
  <si>
    <t>FINITO</t>
  </si>
  <si>
    <r>
      <t>A</t>
    </r>
    <r>
      <rPr>
        <i/>
        <sz val="9"/>
        <rFont val="Arial"/>
        <family val="2"/>
      </rPr>
      <t xml:space="preserve"> è il costo di costruzione convenzionale unitario</t>
    </r>
  </si>
  <si>
    <r>
      <t>(i)</t>
    </r>
    <r>
      <rPr>
        <i/>
        <sz val="9"/>
        <rFont val="Arial"/>
        <family val="2"/>
      </rPr>
      <t xml:space="preserve"> è l’incidenza totale dei lavori da eseguire</t>
    </r>
  </si>
  <si>
    <t>(i)</t>
  </si>
  <si>
    <t>SC*</t>
  </si>
  <si>
    <t>A*P*</t>
  </si>
  <si>
    <r>
      <t>A</t>
    </r>
    <r>
      <rPr>
        <i/>
        <sz val="9"/>
        <rFont val="Arial"/>
        <family val="2"/>
      </rPr>
      <t xml:space="preserve"> è il costo di costruzione convenzionale unitario </t>
    </r>
  </si>
  <si>
    <t>S.U._S.L.</t>
  </si>
  <si>
    <t>Punto 1.4.3 Delibera O.d.g. 109/2019</t>
  </si>
  <si>
    <t>Monetizzazioni</t>
  </si>
  <si>
    <t>IA</t>
  </si>
  <si>
    <t>CR</t>
  </si>
  <si>
    <t>Uso di partenza</t>
  </si>
  <si>
    <t>Uso di arrivo</t>
  </si>
  <si>
    <t>Aree esterne</t>
  </si>
  <si>
    <t>Are permeab</t>
  </si>
  <si>
    <t>Terr urban</t>
  </si>
  <si>
    <t>Aree esterne al T.U.</t>
  </si>
  <si>
    <r>
      <t xml:space="preserve">VM </t>
    </r>
    <r>
      <rPr>
        <b/>
        <vertAlign val="subscript"/>
        <sz val="10"/>
        <rFont val="Arial"/>
        <family val="2"/>
      </rPr>
      <t>PU</t>
    </r>
  </si>
  <si>
    <r>
      <t xml:space="preserve">VOMI </t>
    </r>
    <r>
      <rPr>
        <b/>
        <vertAlign val="subscript"/>
        <sz val="10"/>
        <rFont val="Arial"/>
        <family val="2"/>
      </rPr>
      <t>medio</t>
    </r>
  </si>
  <si>
    <t>Parcheggi</t>
  </si>
  <si>
    <t>Verde</t>
  </si>
  <si>
    <t>Valore OMI massimo</t>
  </si>
  <si>
    <t>Valore OMI minimo</t>
  </si>
  <si>
    <r>
      <t xml:space="preserve">VM </t>
    </r>
    <r>
      <rPr>
        <b/>
        <vertAlign val="subscript"/>
        <sz val="10"/>
        <rFont val="Arial"/>
        <family val="2"/>
      </rPr>
      <t>V</t>
    </r>
  </si>
  <si>
    <t>B=</t>
  </si>
  <si>
    <t>x</t>
  </si>
  <si>
    <t>1) Calcolare gli incrementi i1 e i2 seguendo le Tabelle1 e 2</t>
  </si>
  <si>
    <t>Alloggi (n.)</t>
  </si>
  <si>
    <t>% di incremento</t>
  </si>
  <si>
    <t>(1)</t>
  </si>
  <si>
    <t xml:space="preserve">≤ 95 </t>
  </si>
  <si>
    <t xml:space="preserve">&gt; 95 ≤110 </t>
  </si>
  <si>
    <t xml:space="preserve">&gt; 110 ≤ 130 </t>
  </si>
  <si>
    <t xml:space="preserve">&gt; 130 ≤ 160 </t>
  </si>
  <si>
    <t>&gt; 160</t>
  </si>
  <si>
    <t>(2)</t>
  </si>
  <si>
    <t>(3)</t>
  </si>
  <si>
    <t xml:space="preserve">(4) = (3) : SU </t>
  </si>
  <si>
    <t>(5)</t>
  </si>
  <si>
    <t>(6) = (4) * (5)</t>
  </si>
  <si>
    <t>Totale SU</t>
  </si>
  <si>
    <t>Somma incrementi</t>
  </si>
  <si>
    <t>i1=</t>
  </si>
  <si>
    <t>%</t>
  </si>
  <si>
    <t>Tabella 2 - INCREMENTO PER SERVIZI ED ACCESSORI - i2</t>
  </si>
  <si>
    <t>Tabella 1 - INCREMENTO PER SUPERFICIE UTILE - i1</t>
  </si>
  <si>
    <t>mq</t>
  </si>
  <si>
    <t>Tot. SU=</t>
  </si>
  <si>
    <t>Tot. SA=</t>
  </si>
  <si>
    <t>R = (SA: SU) * 100= … (%)</t>
  </si>
  <si>
    <t>% i2 corrispondente</t>
  </si>
  <si>
    <t>≤ 50</t>
  </si>
  <si>
    <t>&gt; 50 ≤ 75</t>
  </si>
  <si>
    <t>&gt; 75 ≤ 100</t>
  </si>
  <si>
    <t>&gt; 100</t>
  </si>
  <si>
    <t>i2=</t>
  </si>
  <si>
    <t xml:space="preserve">2) Calcolare l’incremento i e la maggiorazione M </t>
  </si>
  <si>
    <r>
      <t>Tabella 3 – CALCOLO INCREMENTO</t>
    </r>
    <r>
      <rPr>
        <b/>
        <sz val="10"/>
        <rFont val="Arial"/>
        <family val="2"/>
      </rPr>
      <t xml:space="preserve"> i</t>
    </r>
    <r>
      <rPr>
        <sz val="10"/>
        <rFont val="Arial"/>
        <family val="0"/>
      </rPr>
      <t xml:space="preserve"> E MAGGIORAZIONE M</t>
    </r>
  </si>
  <si>
    <t xml:space="preserve">i = i1 + i2 </t>
  </si>
  <si>
    <t>i =</t>
  </si>
  <si>
    <t xml:space="preserve">Classe edificio = </t>
  </si>
  <si>
    <t>Maggiorazione M (*)=</t>
  </si>
  <si>
    <t>% di i fino a 5 inclusa:</t>
  </si>
  <si>
    <t>(*) M = Classi di edifici e relative maggiorazioni</t>
  </si>
  <si>
    <t>% di i da 5 a 10 inclusa:</t>
  </si>
  <si>
    <t xml:space="preserve">% di i da 10 a 15 inclusa: </t>
  </si>
  <si>
    <t xml:space="preserve">% di i da 15 a 20 inclusa: </t>
  </si>
  <si>
    <t>% di i da 20 a 25 inclusa</t>
  </si>
  <si>
    <t>% di i da 25 a 30 inclusa:</t>
  </si>
  <si>
    <t>% di i da 30 a 35 inclusa:</t>
  </si>
  <si>
    <t>% di i da 35 a 40 inclusa:</t>
  </si>
  <si>
    <t>% di i da 40 a 45 inclusa:</t>
  </si>
  <si>
    <t>% di i da 45 a 50 inclusa:</t>
  </si>
  <si>
    <t>€/mq</t>
  </si>
  <si>
    <r>
      <t xml:space="preserve">3) Calcolare il costo di costruzione convenzionale unitario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(come definito al punto 5.1 della DAL) </t>
    </r>
  </si>
  <si>
    <r>
      <t xml:space="preserve">A </t>
    </r>
    <r>
      <rPr>
        <sz val="10"/>
        <rFont val="Arial"/>
        <family val="0"/>
      </rPr>
      <t xml:space="preserve">= </t>
    </r>
  </si>
  <si>
    <r>
      <t xml:space="preserve">4) Calcolare il costo di costruzione unitario maggiorato </t>
    </r>
    <r>
      <rPr>
        <b/>
        <sz val="10"/>
        <rFont val="Arial"/>
        <family val="2"/>
      </rPr>
      <t>B</t>
    </r>
  </si>
  <si>
    <t>dove:</t>
  </si>
  <si>
    <t>5) Calcolare il QCC relativo al costo di costruzione:</t>
  </si>
  <si>
    <t>NB: Nel caso in cui (B * P) &lt; 25 €/mq allora (B * P) è da considerarsi pari a 25 €/mq</t>
  </si>
  <si>
    <t>Tabella 4 - Percentuale P in relazione al costo di costruzione unitario maggiorato B</t>
  </si>
  <si>
    <t>Classi di valori imponibili “B” (€/mq)</t>
  </si>
  <si>
    <t xml:space="preserve">&lt; 500  </t>
  </si>
  <si>
    <t xml:space="preserve">501 - 1.000  </t>
  </si>
  <si>
    <t xml:space="preserve">1.001 - 1.500  </t>
  </si>
  <si>
    <t xml:space="preserve">1.501 - 2.000  </t>
  </si>
  <si>
    <t xml:space="preserve">2.001 - 2.500  </t>
  </si>
  <si>
    <t xml:space="preserve">2.501 - 3.000  </t>
  </si>
  <si>
    <t xml:space="preserve">3.001 - 3.500  </t>
  </si>
  <si>
    <t xml:space="preserve">3.501 - 4.000  </t>
  </si>
  <si>
    <t xml:space="preserve">4.001 - 4.500  </t>
  </si>
  <si>
    <t xml:space="preserve">&gt; 4.500  </t>
  </si>
  <si>
    <t xml:space="preserve">In riferimento alle unità immobiliari aventi le caratteristiche delle abitazioni di lusso, così come definite dal DM 2 agosto 1969, o </t>
  </si>
  <si>
    <t>agli edifici provvisti di eliporto, il valore percentuale P è pari al 20%.</t>
  </si>
  <si>
    <t>1)  Calcolare l’incidenza totale dei lavori da eseguire (i) seguendo la Tabella 5</t>
  </si>
  <si>
    <t>Tabella 5 – Stima dell’incidenza delle opere</t>
  </si>
  <si>
    <t>Travi-Pilastri</t>
  </si>
  <si>
    <t>Tamponamenti</t>
  </si>
  <si>
    <t>Fondazioni</t>
  </si>
  <si>
    <t xml:space="preserve">Solai, balconi </t>
  </si>
  <si>
    <t xml:space="preserve">Tramezzi interni </t>
  </si>
  <si>
    <t xml:space="preserve">Coperture </t>
  </si>
  <si>
    <t>Incidenza delle opere strutturali (i1) (max 50%)</t>
  </si>
  <si>
    <t xml:space="preserve">Incidenza delle opere di finitura (i2) </t>
  </si>
  <si>
    <t>Incidenza (i1)</t>
  </si>
  <si>
    <t xml:space="preserve">Incidenza delle singole categorie di </t>
  </si>
  <si>
    <t>lavori da eseguire</t>
  </si>
  <si>
    <t>Totale ( i1) =</t>
  </si>
  <si>
    <t>(i2) = (i1) =</t>
  </si>
  <si>
    <t>(i) = (i1) + (i2) =</t>
  </si>
  <si>
    <t>3) Calcolare il QCC relativo al costo di costruzione:</t>
  </si>
  <si>
    <t>d)</t>
  </si>
  <si>
    <t>e)</t>
  </si>
  <si>
    <t>f)</t>
  </si>
  <si>
    <t>Monetizzazioni Verde</t>
  </si>
  <si>
    <t>Monetizzazioni Parcheggi</t>
  </si>
  <si>
    <t>Tot. U1 dovuti</t>
  </si>
  <si>
    <t>Tot. U2 dovuti</t>
  </si>
  <si>
    <t>Uso di partenza dotazioni</t>
  </si>
  <si>
    <t>Uso di arrivo dotazioni</t>
  </si>
  <si>
    <t>Punto 1.4.4 Delibera O.d.g. 109/2019</t>
  </si>
  <si>
    <t>Punto 1.4.7 Delibera O.d.g. 109/2019</t>
  </si>
  <si>
    <t>(Vedi art. 28 c.2 del RUE)</t>
  </si>
  <si>
    <t>U1-U2</t>
  </si>
  <si>
    <t>Tot. U1</t>
  </si>
  <si>
    <t>Tot. U2</t>
  </si>
  <si>
    <t>Usi</t>
  </si>
  <si>
    <t>1a,1b</t>
  </si>
  <si>
    <t>Calcolo QCC per interventi di nuova costruzione e per interventi di ristrutturazione con demolizione e ricostruzione. Categoria funzionale: residenza</t>
  </si>
  <si>
    <t>Calcolo QCC per interventi di nuova costruzione e per interventi di ristrutturazione con demolizione e ricostruzione.</t>
  </si>
  <si>
    <t>Categoria funzionale: commerciali 4a,4b,4c,4d,4f,5c  turistico ricettive 5a,5b,direzionali o fornitrici di servizi 3a,3b,6,7a,7b,7c,7d  di carattere non artigianale , 8 agricoltore non attività principale</t>
  </si>
  <si>
    <t xml:space="preserve">Calcolo QCC per interventi su edifici esistenti. </t>
  </si>
  <si>
    <t>(definiti dall’art. 34, comma 1, della L.R. n. 15/2013)</t>
  </si>
  <si>
    <t>per gli interventi di ristrutturazione edilizia, di ristrutturazione urbanistica e di nuova costruzione aventi destinazione produttiva o rurale se svolti da non aventi titolo. I contributi D ed S sono cumulabili.</t>
  </si>
  <si>
    <t>*</t>
  </si>
  <si>
    <t>Kd</t>
  </si>
  <si>
    <t>SL</t>
  </si>
  <si>
    <t>NB: Nel caso in cui (A * P) &lt; 25 €/mq allora (A * P) è da considerarsi pari a 25 €/mq</t>
  </si>
  <si>
    <t>S.U.</t>
  </si>
  <si>
    <t>Spuntare se dovuti</t>
  </si>
  <si>
    <r>
      <t xml:space="preserve">2) Calcolare il costo di costruzione convenzionale unitario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(come definito al punto 5.1 della DAL)</t>
    </r>
  </si>
  <si>
    <t>Classi di valori imponibili “A” (€/mq)</t>
  </si>
  <si>
    <t>1) Calcolare il costo di costruzione convenzionale unitario A (come definito al punto 5.1 della DAL)</t>
  </si>
  <si>
    <t>2) Calcolare il QCC relativo al costo di costruzione:</t>
  </si>
  <si>
    <t>Stima della incidenza dei lavori (%)</t>
  </si>
  <si>
    <t>Classi di Superfici(mq)</t>
  </si>
  <si>
    <t>Superficie utile SU (mq)</t>
  </si>
  <si>
    <t>Rapporto rispetto al totale di SU</t>
  </si>
  <si>
    <t>% di incremento per classi di superficie</t>
  </si>
  <si>
    <t>N.B.: Colonna 3 su  * n° UI ???</t>
  </si>
  <si>
    <t>Ipotesi che ricorre</t>
  </si>
  <si>
    <t>Intervallo R di variabilità del rapporto percentuale (%)</t>
  </si>
  <si>
    <t>U1</t>
  </si>
  <si>
    <t>U2</t>
  </si>
  <si>
    <t>X</t>
  </si>
  <si>
    <r>
      <t xml:space="preserve">3) Calcolare il costo di costruzione convenzionale unitario </t>
    </r>
    <r>
      <rPr>
        <b/>
        <i/>
        <sz val="10"/>
        <rFont val="Arial"/>
        <family val="2"/>
      </rPr>
      <t>A</t>
    </r>
    <r>
      <rPr>
        <i/>
        <sz val="10"/>
        <rFont val="Arial"/>
        <family val="2"/>
      </rPr>
      <t xml:space="preserve"> (come definito al punto 5.1 della DAL) </t>
    </r>
  </si>
  <si>
    <r>
      <t xml:space="preserve">4) Calcolare il costo di costruzione unitario maggiorato </t>
    </r>
    <r>
      <rPr>
        <b/>
        <i/>
        <sz val="10"/>
        <rFont val="Arial"/>
        <family val="2"/>
      </rPr>
      <t>B</t>
    </r>
  </si>
  <si>
    <t>Inserire i valori OMI</t>
  </si>
  <si>
    <t>QCC per CD residenziale</t>
  </si>
  <si>
    <t>Computo metrico</t>
  </si>
  <si>
    <t>Via</t>
  </si>
  <si>
    <t>n°</t>
  </si>
  <si>
    <t>Totale complessivo</t>
  </si>
  <si>
    <t>Punto 1.2.8 Delibera O.d.g. 109/2019</t>
  </si>
  <si>
    <t>(cambio d'uso)</t>
  </si>
  <si>
    <t xml:space="preserve">RE- Ristrutturazione 
edilizia senza aumento di CU </t>
  </si>
  <si>
    <r>
      <t xml:space="preserve">Scomputo del 50% per interventi relativi a </t>
    </r>
    <r>
      <rPr>
        <sz val="8"/>
        <rFont val="Arial"/>
        <family val="2"/>
      </rPr>
      <t>strutture socio-assistenziali,</t>
    </r>
    <r>
      <rPr>
        <sz val="8"/>
        <rFont val="Arial"/>
        <family val="2"/>
      </rPr>
      <t xml:space="preserve"> educative.</t>
    </r>
  </si>
  <si>
    <r>
      <t>Un ulteriore scomputo</t>
    </r>
    <r>
      <rPr>
        <sz val="8"/>
        <rFont val="Arial"/>
        <family val="2"/>
      </rPr>
      <t xml:space="preserve"> del 20% è prevista per la realizzazione di edilizia residenziale sociale E.R.S.</t>
    </r>
  </si>
  <si>
    <r>
      <t>Possibilità di ridurre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del 50% il valore AI per determinate attività sportive svolte all’aperto</t>
    </r>
  </si>
  <si>
    <r>
      <t xml:space="preserve">Scomputi (del valore base dell’onere) </t>
    </r>
    <r>
      <rPr>
        <sz val="8"/>
        <rFont val="Arial"/>
        <family val="2"/>
      </rPr>
      <t>del 30% per la realizzazione di tettoie destinate a depositi di materie prime e semi-lavorati o per l’attuazione di misure di qualità edilizia definita dal PUG.</t>
    </r>
  </si>
  <si>
    <t>(Se dovuti)</t>
  </si>
  <si>
    <t>Punto 5.5.4 Delibera O.d.g. 109/2019 _ Per gli interventi su strutture esistenti destinate ad attività commerciali, turistico ricettive, direzionali o fornitrici di servizi di carattere non artigianale, la QCC è ridotta al 50%.</t>
  </si>
  <si>
    <t>Calcolo di U1 + U2 + Monetizzazioni per interventi di Cambio d'uso</t>
  </si>
  <si>
    <r>
      <t xml:space="preserve">1)  Calcolare l’incidenza totale dei lavori da eseguire </t>
    </r>
    <r>
      <rPr>
        <b/>
        <i/>
        <sz val="10"/>
        <rFont val="Arial"/>
        <family val="2"/>
      </rPr>
      <t>(i)</t>
    </r>
    <r>
      <rPr>
        <i/>
        <sz val="10"/>
        <rFont val="Arial"/>
        <family val="2"/>
      </rPr>
      <t xml:space="preserve"> seguendo la Tabella 5</t>
    </r>
  </si>
  <si>
    <r>
      <t xml:space="preserve">2) Calcolare il costo di costruzione convenzionale unitario </t>
    </r>
    <r>
      <rPr>
        <b/>
        <i/>
        <sz val="10"/>
        <rFont val="Arial"/>
        <family val="2"/>
      </rPr>
      <t>A</t>
    </r>
    <r>
      <rPr>
        <i/>
        <sz val="10"/>
        <rFont val="Arial"/>
        <family val="2"/>
      </rPr>
      <t xml:space="preserve"> (come definito al punto 5.1 della DAL)</t>
    </r>
  </si>
  <si>
    <t>Calcolo QCC per interventi di Cambio D'uso. Categoria funzionale: residenza</t>
  </si>
  <si>
    <t>Calcolo QCC per interventi di Cambio D'uso. Categoria funzionale: NON residenziale</t>
  </si>
  <si>
    <t>NORMALE</t>
  </si>
  <si>
    <t>SCADENTE</t>
  </si>
  <si>
    <t>OTTIMO</t>
  </si>
  <si>
    <t>Parametro di conversione stato conservativo</t>
  </si>
  <si>
    <t>Stato conservativo presente nella zona OMI luogo dell'intervento</t>
  </si>
  <si>
    <t>Punto 5.1.2</t>
  </si>
  <si>
    <t>Tabella 1 - Conversione stato conservativo</t>
  </si>
  <si>
    <t>Punto 5.1.3</t>
  </si>
  <si>
    <t>Tabella 2 - Conversione tipologia edilizia residenziale</t>
  </si>
  <si>
    <t>Abitazioni civili</t>
  </si>
  <si>
    <t>Abitazioni di tipo economico</t>
  </si>
  <si>
    <t>Abitazioni signorili</t>
  </si>
  <si>
    <t>Abitazioni tipiche dei luoghi</t>
  </si>
  <si>
    <t>Ville e Villini</t>
  </si>
  <si>
    <t>Tipologia presente nella zona OMI luogo dell'intervento</t>
  </si>
  <si>
    <t>Tipologia intervento edilizio</t>
  </si>
  <si>
    <t>Parametro di conversione tipologia edilizia</t>
  </si>
  <si>
    <t>Punto 5.1.4</t>
  </si>
  <si>
    <t>Tabella 3 - Conversione da funzione residenziale a funzione non residenziale</t>
  </si>
  <si>
    <t>1750 a 2100</t>
  </si>
  <si>
    <t>1050 a 1400</t>
  </si>
  <si>
    <t>1400 a 1750</t>
  </si>
  <si>
    <t>Valore A</t>
  </si>
  <si>
    <t>&lt;=1049,99</t>
  </si>
  <si>
    <t>&gt;=2100,001</t>
  </si>
  <si>
    <t>SOMMA</t>
  </si>
  <si>
    <t>QCC_SCHEDA A</t>
  </si>
  <si>
    <t xml:space="preserve">QCC_SCHEDA B </t>
  </si>
  <si>
    <t>QCC_SCHEDA C</t>
  </si>
  <si>
    <t>QCC_per CD  NON residenziale</t>
  </si>
  <si>
    <t>QCC_SCHEDA D</t>
  </si>
  <si>
    <t>Contributi “D” E “S”</t>
  </si>
  <si>
    <t>superficie impermeabile del suolo rispetto allo stato di fatto superiore al 20% della SF</t>
  </si>
  <si>
    <t>97.75</t>
  </si>
  <si>
    <t>RE- Ristrutturazione 
edilizia senza aumento di CU : 4d (escluso esposizione senza vendita e/o depositi autonomi con SU &lt; 250 mq) ,</t>
  </si>
  <si>
    <t>Edilizia residenziale (1a,1b)                  turistico-ricettiva (5a,5b)                                   direzionale (3a,3b,6,7a,7b,7c,7d)</t>
  </si>
  <si>
    <t>Riepilogo modelli di calcolo</t>
  </si>
  <si>
    <t>QCC</t>
  </si>
  <si>
    <t>Monetizzazione parcheggi</t>
  </si>
  <si>
    <t>Monetizzazione verde</t>
  </si>
  <si>
    <t>Conributo D</t>
  </si>
  <si>
    <t>Conributo S</t>
  </si>
  <si>
    <t xml:space="preserve">Mod. 1 </t>
  </si>
  <si>
    <t>Mod. 2</t>
  </si>
  <si>
    <t xml:space="preserve">Mod. 3 </t>
  </si>
  <si>
    <t>Mod. 4</t>
  </si>
  <si>
    <t>Totale complessivo di tutti i modelli</t>
  </si>
  <si>
    <t>Calcolo QCC per interventi di N.C. e per interventi di ristrutturazione con demolizione e ricostruzione.</t>
  </si>
  <si>
    <t xml:space="preserve">Calcolo QCC per interventi di N.C. e per interventi di ristrutturazione con demolizione e ricostruzione.  </t>
  </si>
  <si>
    <t xml:space="preserve">U1 e U2 </t>
  </si>
  <si>
    <t>Modello per il calcolo del Contributo di costruzione</t>
  </si>
  <si>
    <t>https://wwwt.agenziaentrate.gov.it/geopoi_omi/index.php</t>
  </si>
  <si>
    <t>Zoma OMI</t>
  </si>
  <si>
    <t>Link "Agenzia delle Entrate" per acquisizione valori OMI</t>
  </si>
  <si>
    <t>(2) Inserire n° alloggi per categoria</t>
  </si>
  <si>
    <t>(3) Inserire S.U. totale per categoria</t>
  </si>
  <si>
    <r>
      <t>NC</t>
    </r>
    <r>
      <rPr>
        <sz val="9"/>
        <rFont val="Arial"/>
        <family val="2"/>
      </rPr>
      <t xml:space="preserve"> - Nuova costruzione 
</t>
    </r>
    <r>
      <rPr>
        <b/>
        <sz val="9"/>
        <rFont val="Arial"/>
        <family val="2"/>
      </rPr>
      <t>RU</t>
    </r>
    <r>
      <rPr>
        <sz val="9"/>
        <rFont val="Arial"/>
        <family val="2"/>
      </rPr>
      <t xml:space="preserve"> - Ristrutturazione urbanistica</t>
    </r>
  </si>
  <si>
    <r>
      <t>RE</t>
    </r>
    <r>
      <rPr>
        <sz val="9"/>
        <rFont val="Arial"/>
        <family val="2"/>
      </rPr>
      <t>- Ristrutturazione 
edilizia con aumento di 
CU</t>
    </r>
  </si>
  <si>
    <t>Vai al calcolo standard al foglio "Monetizzazioni"</t>
  </si>
  <si>
    <t>Calcolo Oneri di Urbanizzazione</t>
  </si>
  <si>
    <t xml:space="preserve">Inserire il valore della S.U. </t>
  </si>
  <si>
    <t>Negozi</t>
  </si>
  <si>
    <t>Centri commerciali</t>
  </si>
  <si>
    <t>Uffici</t>
  </si>
  <si>
    <t>Capannoni laboratori</t>
  </si>
  <si>
    <t>Funzione intervento edilizio</t>
  </si>
  <si>
    <t>Parametro di conversione funzioni</t>
  </si>
  <si>
    <t>Valore tipologia "abitazione civile" presente nella zona OMI luogo dell'intervento</t>
  </si>
  <si>
    <t>Punto 5.1.5</t>
  </si>
  <si>
    <t>La zone OMI non contempla la funzione turistico ricettiva riferita alla destinazione alberghiera</t>
  </si>
  <si>
    <t>A=</t>
  </si>
  <si>
    <t>Pc</t>
  </si>
  <si>
    <t>(Nc</t>
  </si>
  <si>
    <t>1000)</t>
  </si>
  <si>
    <t>/SC</t>
  </si>
  <si>
    <t>o</t>
  </si>
  <si>
    <t>Valori OMI max. ottimo</t>
  </si>
  <si>
    <t>Valori OMI min. ottimo</t>
  </si>
  <si>
    <t>Valori OMI max. "abitazione civile"</t>
  </si>
  <si>
    <t>Valori OMI min. "abitazione civile"</t>
  </si>
  <si>
    <t>N.B.: Inserire una sola spunta per Tipologia presente/Tipologia intervento</t>
  </si>
  <si>
    <t>Riportare i valori nel foglio "Valore OMI_Usi</t>
  </si>
  <si>
    <t>Valori OMI max. della tip. Presente</t>
  </si>
  <si>
    <t>Valori OMI min. della tip. Presente</t>
  </si>
  <si>
    <t>Valori OMI max. della tip. Intervento edil.</t>
  </si>
  <si>
    <t>Valori OMI min. della tip. Intervento edil.</t>
  </si>
  <si>
    <t>Valori OMI max. "non residenziale"</t>
  </si>
  <si>
    <t>Valori OMI min. "non residenziale"</t>
  </si>
  <si>
    <t>Riepilogo</t>
  </si>
  <si>
    <t>Valore OMI_Usi</t>
  </si>
  <si>
    <t>QCC_Scheda A</t>
  </si>
  <si>
    <t>QCC_Scheda B</t>
  </si>
  <si>
    <t>QCC_Scheda C</t>
  </si>
  <si>
    <t>QCC_Scheda D</t>
  </si>
  <si>
    <t>U1 e U2</t>
  </si>
  <si>
    <t>Verifica QCC per CD</t>
  </si>
  <si>
    <t>QCC per CD resid</t>
  </si>
  <si>
    <t>QCC per CD  NON resid</t>
  </si>
  <si>
    <t>CD_U1_U2_Monetizz.</t>
  </si>
  <si>
    <t>Contributi D e S</t>
  </si>
  <si>
    <t>Conversione OMI</t>
  </si>
  <si>
    <t xml:space="preserve">Edilizia produttiva (2a,2b,2c,2d),                 commerciale all'ingrosso (2b)                          rurale (8 svolta da non aventi titolo)
</t>
  </si>
  <si>
    <t xml:space="preserve">Edilizia commerciale al dettaglio ed edilizia produttiva limitatamente all’artigianato di servizio (casa,persona) (4a,4b,4c,4d,4e,4f,4g,5c)
</t>
  </si>
  <si>
    <t>N.B.: I valori OMI da considerare sono riferiti allo stato conservativo "Ottimo" , in caso non sia contemplato lo stato conservativo ottimo o la tipologia edilizia esistente vedi punto 5.1.2 o 5.1.3. Delibera O.d.g. 109/2019 (vedi Foglio "Conversione OMI")</t>
  </si>
  <si>
    <t>Somma U1e U2</t>
  </si>
  <si>
    <t>Inserire valori OMI uso di arrivo e zona OMI</t>
  </si>
  <si>
    <t>Valori OMI max. normale/scadente</t>
  </si>
  <si>
    <t>Valori OMI min. normale/scadente</t>
  </si>
  <si>
    <t>% assunta</t>
  </si>
  <si>
    <t xml:space="preserve"> =    € </t>
  </si>
  <si>
    <t>rid 50%</t>
  </si>
  <si>
    <t xml:space="preserve">€ </t>
  </si>
  <si>
    <t xml:space="preserve"> €</t>
  </si>
  <si>
    <t>N.B.: Inserire gli importi degli altri modelli compilati</t>
  </si>
  <si>
    <t xml:space="preserve">Compilato il foglio di calcolo , stampare con PDFcreator/stampa tutta la cartella , in modo da ottenere un file pdf </t>
  </si>
  <si>
    <t>N.B.: I valori OMI da considerare sono riferiti allo stato conservativo "Ottimo" , in caso non sia contemplato lo stato conservativo ottimo o la tipologia edilizia esistente vedi punto 5.1.2 , 5.1.3. ,5.1.4 , 5.1.5 , 5.1.6 , 5.1.7 , Delibera O.d.g. 109/2019 (vedi Foglio Conversione OMI)</t>
  </si>
  <si>
    <t>Uso di progetto</t>
  </si>
  <si>
    <t>_Funzione turistico-ricettiva,
_Funzione produttiva, con esclusione delle funzioni artigianali di servizio alla casa e alla persona,
_Funzione commerciale, con esclusione del commercio al dettaglio,
_Funzione rurale.</t>
  </si>
  <si>
    <t>_Funzione residenziale,
_Funzione direzionale,
_Funzione produttiva, limitatamente all’artigianato di servizio alla casa e alla persona,
_Funzione commerciale, limitatamente al commercio al dettaglio</t>
  </si>
  <si>
    <t>S.L.</t>
  </si>
  <si>
    <t>Usi non soggetti al pagamento del QCC                                                                                                        2a,2b,2c,2d,4d limitatamente all'uso artigianale (escluso casa persona),4g, 8 agricoltore attività principale</t>
  </si>
  <si>
    <t>N.B.: Da utilizzare solo se l'intervento complessivo riguarda l' intero edificio</t>
  </si>
  <si>
    <t xml:space="preserve">Incidenza delle singole categorie </t>
  </si>
  <si>
    <t>di lavori da eseguire</t>
  </si>
  <si>
    <t>Calcolo valore "A" per QCC e valori OMI per U1 e U2</t>
  </si>
  <si>
    <r>
      <t>Valore medio</t>
    </r>
    <r>
      <rPr>
        <i/>
        <sz val="8"/>
        <rFont val="Arial"/>
        <family val="2"/>
      </rPr>
      <t xml:space="preserve"> *0,475</t>
    </r>
  </si>
  <si>
    <t>Punto 5.2 Delibera O.d.g. 109/2019    Valore ridotto per interventi di edilizia residenziale</t>
  </si>
  <si>
    <t>Per interventi di cambio d'uso (CD)</t>
  </si>
  <si>
    <t xml:space="preserve">In caso non sia presente il valore OMI relativo alle caratteristiche degli interventi passare al foglio </t>
  </si>
  <si>
    <t>Per interventi diversi dal cambio d'uso (NC , RE)</t>
  </si>
  <si>
    <t>g)</t>
  </si>
  <si>
    <t>Nel foglio di calcolo trovate :</t>
  </si>
  <si>
    <t>Foglio di calcolo per U1 e U2</t>
  </si>
  <si>
    <t>Foglio di calcolo per QCC</t>
  </si>
  <si>
    <t>Foglio di calcolo per monetizzazioni</t>
  </si>
  <si>
    <t>Foglio di calcolo contributo D e S</t>
  </si>
  <si>
    <t>Istruzioni per la compilazione del calcolo del Contributo di Costruzione</t>
  </si>
  <si>
    <t>Tabelle di calcolo di conversione valori OMI non presenti</t>
  </si>
  <si>
    <t>Calcolare gli incrementi i1 e i2 seguendo le Tabelle1 e 2</t>
  </si>
  <si>
    <t>SCHEDA   C</t>
  </si>
  <si>
    <t xml:space="preserve">SCHEDA   B </t>
  </si>
  <si>
    <t>SCHEDA   A</t>
  </si>
  <si>
    <r>
      <t xml:space="preserve">Usi non soggetti al pagamento del QCC                                                                                                        2a,2b,2c,2d,4d limitatamente all'uso artigianale </t>
    </r>
    <r>
      <rPr>
        <i/>
        <sz val="10"/>
        <rFont val="Arial"/>
        <family val="2"/>
      </rPr>
      <t>(escluso casa persona)</t>
    </r>
    <r>
      <rPr>
        <b/>
        <sz val="10"/>
        <rFont val="Arial"/>
        <family val="2"/>
      </rPr>
      <t>,4g, 8 agricoltore attività principale</t>
    </r>
  </si>
  <si>
    <t>SCHEDA   D</t>
  </si>
  <si>
    <t>Usi:1a,1b</t>
  </si>
  <si>
    <r>
      <t>SCHEDA   C</t>
    </r>
  </si>
  <si>
    <t>CONTRIBUTI “D” e “S”</t>
  </si>
  <si>
    <t>Attività socio-assistenziali-sanitarie realizzate da privati , rid. 20%</t>
  </si>
  <si>
    <t>Monetizz. PU</t>
  </si>
  <si>
    <t>Monetizz. Verde</t>
  </si>
  <si>
    <t>Inserire il valore del computo metrico fino allo scomputo massimo di U1+U2+D+S .                                                          Per realizzare interventi con PdC convenzionati .</t>
  </si>
  <si>
    <t>la S.U. / S.L. ed eventuale sconto  su U1 e U2 . In caso di dotazioni dovute passare al foglio "Monetizzazioni"</t>
  </si>
  <si>
    <t>relative (colonna 2) , il valore della S.A. e selezionare eventuale sconto ;</t>
  </si>
  <si>
    <t>la S.U. , la S.A. e selezionare l'eventuale sconto ;</t>
  </si>
  <si>
    <t>inserendo la S.U. selezionando la Monetizzazione dei parcheggi e/o del verde ;</t>
  </si>
  <si>
    <t xml:space="preserve"> la S.U. , la S.A. lo sconto relativo all' uso (% assunta) e selezionare l' eventuale sconto ;</t>
  </si>
  <si>
    <t xml:space="preserve"> compilazione di più modelli di calcolo inserire il riepilogo degli altri modelli compilati.(Fino al massimo di quattro) ;</t>
  </si>
  <si>
    <t>selezionare se &gt; o &lt; di 7000 mc , l'area territoriale (una delle tre) , l'uso di partenza e di arrivo  , inserire la S.U. ,</t>
  </si>
  <si>
    <t>selezionare le Monetizzazione dei parcheggi e/o del verde, se non dovute (casi particolari) da motivare in relazione ;</t>
  </si>
  <si>
    <t>per classi di superficie (colonna 3) e il numero delle U.I. relative (colonna 2) , il valore della S.A. e l'eventuale sconto ;</t>
  </si>
  <si>
    <t xml:space="preserve"> lo sconto relativo all' uso (% assunta) e l'eventuale ulteriore sconto ;</t>
  </si>
  <si>
    <r>
      <t xml:space="preserve">Se dovuti vai al foglio </t>
    </r>
    <r>
      <rPr>
        <b/>
        <i/>
        <sz val="10"/>
        <rFont val="Arial"/>
        <family val="2"/>
      </rPr>
      <t>"Contributi D e S"</t>
    </r>
    <r>
      <rPr>
        <i/>
        <sz val="10"/>
        <rFont val="Arial"/>
        <family val="2"/>
      </rPr>
      <t xml:space="preserve"> - selezionare il contributo D o S oppure entrambi e una delle riduzioni valide ;</t>
    </r>
  </si>
  <si>
    <r>
      <t>"CD_U1_U2_Monetizz."</t>
    </r>
    <r>
      <rPr>
        <sz val="10"/>
        <rFont val="Arial"/>
        <family val="2"/>
      </rPr>
      <t xml:space="preserve"> - inserire i valori OMI (massimo e minimo) dell'uso di arrivo e relativa zona , </t>
    </r>
  </si>
  <si>
    <r>
      <t xml:space="preserve"> in caso di aumento di carico passare alla compilazione di </t>
    </r>
    <r>
      <rPr>
        <b/>
        <sz val="10"/>
        <rFont val="Arial"/>
        <family val="2"/>
      </rPr>
      <t>"QCC per CD resid"</t>
    </r>
    <r>
      <rPr>
        <sz val="10"/>
        <rFont val="Arial"/>
        <family val="2"/>
      </rPr>
      <t xml:space="preserve"> se uso di arrivo residenziale o</t>
    </r>
  </si>
  <si>
    <r>
      <t>"QCC per CD  NON resid"</t>
    </r>
    <r>
      <rPr>
        <sz val="10"/>
        <rFont val="Arial"/>
        <family val="2"/>
      </rPr>
      <t xml:space="preserve"> se uso di arrivo NON residenziale .</t>
    </r>
  </si>
  <si>
    <r>
      <t>"Conversione OMI"</t>
    </r>
    <r>
      <rPr>
        <sz val="10"/>
        <rFont val="Arial"/>
        <family val="2"/>
      </rPr>
      <t xml:space="preserve"> per il calcolo della conversione delle tipologie ;</t>
    </r>
  </si>
  <si>
    <r>
      <t>"QCC per CD resid"</t>
    </r>
    <r>
      <rPr>
        <sz val="10"/>
        <rFont val="Arial"/>
        <family val="2"/>
      </rPr>
      <t xml:space="preserve"> - Inserire i valori OMI per l'uso di progetto e legittimo , inserire la somma della S.U. suddivisa </t>
    </r>
  </si>
  <si>
    <r>
      <t>"QCC per CD NON resid"</t>
    </r>
    <r>
      <rPr>
        <sz val="10"/>
        <rFont val="Arial"/>
        <family val="2"/>
      </rPr>
      <t xml:space="preserve"> - Inserire i valori OMI per l'uso di progetto e legittimo , inserire la S.U. , la S.A. , selezionare</t>
    </r>
  </si>
  <si>
    <r>
      <t>"Riepilogo"</t>
    </r>
    <r>
      <rPr>
        <sz val="10"/>
        <rFont val="Arial"/>
        <family val="2"/>
      </rPr>
      <t xml:space="preserve"> - Inserire indirizzo , l'eventuale importo del computo metrico  se intervento in convenzione, in caso di  </t>
    </r>
  </si>
  <si>
    <r>
      <t xml:space="preserve">Compilare il foglio </t>
    </r>
    <r>
      <rPr>
        <b/>
        <sz val="10"/>
        <rFont val="Arial"/>
        <family val="2"/>
      </rPr>
      <t>"Valore OMI_Usi"</t>
    </r>
    <r>
      <rPr>
        <sz val="10"/>
        <rFont val="Arial"/>
        <family val="2"/>
      </rPr>
      <t xml:space="preserve"> - Spuntare l'uso , inserire i valori OMI (massimo e minimo) e relativa zona .</t>
    </r>
  </si>
  <si>
    <r>
      <t>"U1 e U2"</t>
    </r>
    <r>
      <rPr>
        <sz val="10"/>
        <rFont val="Arial"/>
        <family val="2"/>
      </rPr>
      <t xml:space="preserve"> - spuntare se &gt; o &lt; di 7000 mc , la combinazione dell'uso/area/tipo di intervento , l'uso di progetto , </t>
    </r>
  </si>
  <si>
    <r>
      <t>Compilare una delle schede "</t>
    </r>
    <r>
      <rPr>
        <b/>
        <sz val="10"/>
        <rFont val="Arial"/>
        <family val="2"/>
      </rPr>
      <t>QCC_Scheda A</t>
    </r>
    <r>
      <rPr>
        <sz val="10"/>
        <rFont val="Arial"/>
        <family val="2"/>
      </rPr>
      <t xml:space="preserve">" , </t>
    </r>
    <r>
      <rPr>
        <b/>
        <sz val="10"/>
        <rFont val="Arial"/>
        <family val="2"/>
      </rPr>
      <t>"QCC_Scheda B"</t>
    </r>
    <r>
      <rPr>
        <sz val="10"/>
        <rFont val="Arial"/>
        <family val="2"/>
      </rPr>
      <t xml:space="preserve"> , se residenziale , </t>
    </r>
  </si>
  <si>
    <r>
      <t>se non residenziale</t>
    </r>
    <r>
      <rPr>
        <b/>
        <sz val="10"/>
        <rFont val="Arial"/>
        <family val="2"/>
      </rPr>
      <t xml:space="preserve">  "QCC_Scheda C"</t>
    </r>
    <r>
      <rPr>
        <sz val="10"/>
        <rFont val="Arial"/>
        <family val="2"/>
      </rPr>
      <t xml:space="preserve"> ,</t>
    </r>
    <r>
      <rPr>
        <b/>
        <sz val="10"/>
        <rFont val="Arial"/>
        <family val="2"/>
      </rPr>
      <t xml:space="preserve"> "QCC_Scheda D"</t>
    </r>
    <r>
      <rPr>
        <sz val="10"/>
        <rFont val="Arial"/>
        <family val="2"/>
      </rPr>
      <t xml:space="preserve"> , in relazione al tipo di intervento ;</t>
    </r>
  </si>
  <si>
    <r>
      <t xml:space="preserve">"QCC_Scheda A" </t>
    </r>
    <r>
      <rPr>
        <sz val="10"/>
        <rFont val="Arial"/>
        <family val="2"/>
      </rPr>
      <t xml:space="preserve">- Inserire la somma della S.U. suddivisa per classi di superficie (colonna 3) e il numero delle U.I. </t>
    </r>
  </si>
  <si>
    <r>
      <t>"QCC_Scheda B"</t>
    </r>
    <r>
      <rPr>
        <sz val="10"/>
        <rFont val="Arial"/>
        <family val="2"/>
      </rPr>
      <t xml:space="preserve"> - selezionare nella tabella "Stima della incidenza delle opere" la % di incidenza dei lavori , </t>
    </r>
  </si>
  <si>
    <r>
      <t>"QCC_Scheda C"</t>
    </r>
    <r>
      <rPr>
        <sz val="10"/>
        <rFont val="Arial"/>
        <family val="2"/>
      </rPr>
      <t xml:space="preserve"> - inserire la S.U. , la S.A. , lo sconto relativo all' uso (% assunta) e selezionare l' eventuale sconto ;</t>
    </r>
  </si>
  <si>
    <r>
      <t>"QCC_Scheda D"</t>
    </r>
    <r>
      <rPr>
        <sz val="10"/>
        <rFont val="Arial"/>
        <family val="2"/>
      </rPr>
      <t xml:space="preserve"> - selezionare nella tabella "Stima della incidenza delle opere" la % di incidenza dei lavori ,</t>
    </r>
  </si>
  <si>
    <t xml:space="preserve">Si richiede di allegare alla documentazione da inviare tramite "Scrivania del professionista la pagina dei valori OMI ricavata </t>
  </si>
  <si>
    <t xml:space="preserve">N.B.: </t>
  </si>
  <si>
    <t>Caselle verdi : inserire valori OMI richiesti e superfici ;</t>
  </si>
  <si>
    <r>
      <t xml:space="preserve">Caselle gialle : Selezionare inserendo 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, non inserire mai numeri ;</t>
    </r>
  </si>
  <si>
    <t>Caselle rosa : Inserite testo come da indicazione ;</t>
  </si>
  <si>
    <t>da inserire nel titolo edilizio e caricarlo su "Scrivania del professionista" ;</t>
  </si>
  <si>
    <r>
      <t xml:space="preserve">Uso di partenza </t>
    </r>
    <r>
      <rPr>
        <i/>
        <sz val="9"/>
        <rFont val="Arial"/>
        <family val="2"/>
      </rPr>
      <t>(Selezionare)</t>
    </r>
  </si>
  <si>
    <r>
      <t xml:space="preserve">Uso di arrivo </t>
    </r>
    <r>
      <rPr>
        <i/>
        <sz val="9"/>
        <rFont val="Arial"/>
        <family val="2"/>
      </rPr>
      <t>(Selezionare)</t>
    </r>
  </si>
  <si>
    <t>Per semplicità i fogli di calcolo sono stati raggruppati per tipologia di intervento come sotto specificato ;</t>
  </si>
  <si>
    <t>Se il tuo intervento prevede la realizzazione di più usi è necessario compilare più modelli di calcolo ;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</si>
</sst>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 ;\-0.00\ "/>
    <numFmt numFmtId="173" formatCode="0.00;[Red]0.00"/>
    <numFmt numFmtId="174" formatCode="0;[Red]0"/>
    <numFmt numFmtId="175" formatCode="&quot;€&quot;\ #,##0.00"/>
    <numFmt numFmtId="176" formatCode="0.000"/>
    <numFmt numFmtId="177" formatCode="0.00_ ;[Red]\-0.00\ "/>
    <numFmt numFmtId="178" formatCode="00000"/>
    <numFmt numFmtId="179" formatCode="&quot;€&quot;\ #,##0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bscript"/>
      <sz val="10"/>
      <name val="Arial"/>
      <family val="2"/>
    </font>
    <font>
      <sz val="10"/>
      <color indexed="57"/>
      <name val="Arial"/>
      <family val="2"/>
    </font>
    <font>
      <strike/>
      <sz val="8"/>
      <name val="Arial"/>
      <family val="2"/>
    </font>
    <font>
      <i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9"/>
      <color indexed="14"/>
      <name val="Arial"/>
      <family val="2"/>
    </font>
    <font>
      <sz val="9"/>
      <color indexed="14"/>
      <name val="Arial"/>
      <family val="2"/>
    </font>
    <font>
      <sz val="8"/>
      <color indexed="17"/>
      <name val="Arial"/>
      <family val="0"/>
    </font>
    <font>
      <b/>
      <sz val="10"/>
      <color indexed="17"/>
      <name val="Arial"/>
      <family val="2"/>
    </font>
    <font>
      <sz val="8"/>
      <color indexed="17"/>
      <name val="Verdana"/>
      <family val="2"/>
    </font>
    <font>
      <b/>
      <sz val="8"/>
      <color indexed="17"/>
      <name val="Arial"/>
      <family val="2"/>
    </font>
    <font>
      <b/>
      <vertAlign val="subscript"/>
      <sz val="8"/>
      <name val="Arial"/>
      <family val="2"/>
    </font>
    <font>
      <sz val="10"/>
      <color indexed="21"/>
      <name val="Arial"/>
      <family val="2"/>
    </font>
    <font>
      <b/>
      <i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Verdana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sz val="8"/>
      <color indexed="20"/>
      <name val="Arial"/>
      <family val="2"/>
    </font>
    <font>
      <sz val="8"/>
      <color indexed="20"/>
      <name val="Verdana"/>
      <family val="2"/>
    </font>
    <font>
      <sz val="8"/>
      <color indexed="10"/>
      <name val="Arial"/>
      <family val="2"/>
    </font>
    <font>
      <sz val="8"/>
      <color indexed="10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57"/>
      </patternFill>
    </fill>
    <fill>
      <patternFill patternType="mediumGray">
        <fgColor indexed="12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/>
    </xf>
    <xf numFmtId="10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74" fontId="6" fillId="0" borderId="14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5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175" fontId="6" fillId="0" borderId="14" xfId="0" applyNumberFormat="1" applyFont="1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6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73" fontId="0" fillId="0" borderId="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6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175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21" fillId="0" borderId="0" xfId="0" applyFont="1" applyBorder="1" applyAlignment="1">
      <alignment horizontal="right"/>
    </xf>
    <xf numFmtId="175" fontId="23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175" fontId="2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75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175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left" vertical="center" wrapText="1"/>
    </xf>
    <xf numFmtId="175" fontId="1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9" fontId="27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9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/>
    </xf>
    <xf numFmtId="0" fontId="0" fillId="0" borderId="23" xfId="0" applyBorder="1" applyAlignment="1">
      <alignment/>
    </xf>
    <xf numFmtId="10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9" fontId="29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/>
    </xf>
    <xf numFmtId="9" fontId="0" fillId="0" borderId="1" xfId="0" applyNumberFormat="1" applyBorder="1" applyAlignment="1">
      <alignment/>
    </xf>
    <xf numFmtId="9" fontId="29" fillId="0" borderId="1" xfId="0" applyNumberFormat="1" applyFont="1" applyFill="1" applyBorder="1" applyAlignment="1">
      <alignment horizontal="center" vertical="center" wrapText="1"/>
    </xf>
    <xf numFmtId="9" fontId="6" fillId="0" borderId="14" xfId="0" applyNumberFormat="1" applyFont="1" applyBorder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0" fillId="0" borderId="1" xfId="0" applyNumberFormat="1" applyBorder="1" applyAlignment="1">
      <alignment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175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23" fillId="0" borderId="0" xfId="0" applyFont="1" applyAlignment="1">
      <alignment horizontal="right"/>
    </xf>
    <xf numFmtId="4" fontId="1" fillId="0" borderId="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17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" fillId="3" borderId="16" xfId="0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175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9" fontId="34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1" fontId="35" fillId="0" borderId="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1" xfId="0" applyNumberFormat="1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1" fontId="35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9" fontId="37" fillId="0" borderId="0" xfId="0" applyNumberFormat="1" applyFont="1" applyAlignment="1">
      <alignment horizontal="center"/>
    </xf>
    <xf numFmtId="9" fontId="38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9" fontId="39" fillId="0" borderId="0" xfId="0" applyNumberFormat="1" applyFont="1" applyAlignment="1">
      <alignment horizontal="center"/>
    </xf>
    <xf numFmtId="9" fontId="40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75" fontId="0" fillId="0" borderId="0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175" fontId="1" fillId="0" borderId="1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/>
    </xf>
    <xf numFmtId="175" fontId="0" fillId="0" borderId="1" xfId="0" applyNumberFormat="1" applyBorder="1" applyAlignment="1">
      <alignment/>
    </xf>
    <xf numFmtId="0" fontId="13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75" fontId="0" fillId="0" borderId="1" xfId="0" applyNumberFormat="1" applyFill="1" applyBorder="1" applyAlignment="1" applyProtection="1">
      <alignment/>
      <protection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5" fontId="0" fillId="3" borderId="0" xfId="0" applyNumberFormat="1" applyFill="1" applyAlignment="1">
      <alignment/>
    </xf>
    <xf numFmtId="175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left"/>
    </xf>
    <xf numFmtId="4" fontId="7" fillId="0" borderId="2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19" fillId="0" borderId="1" xfId="0" applyFont="1" applyBorder="1" applyAlignment="1">
      <alignment horizontal="center"/>
    </xf>
    <xf numFmtId="175" fontId="19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1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175" fontId="0" fillId="0" borderId="31" xfId="0" applyNumberFormat="1" applyBorder="1" applyAlignment="1">
      <alignment/>
    </xf>
    <xf numFmtId="0" fontId="0" fillId="0" borderId="31" xfId="0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79" fontId="0" fillId="0" borderId="1" xfId="0" applyNumberFormat="1" applyFill="1" applyBorder="1" applyAlignment="1">
      <alignment horizontal="center"/>
    </xf>
    <xf numFmtId="175" fontId="0" fillId="5" borderId="1" xfId="0" applyNumberFormat="1" applyFill="1" applyBorder="1" applyAlignment="1" applyProtection="1">
      <alignment/>
      <protection locked="0"/>
    </xf>
    <xf numFmtId="4" fontId="11" fillId="6" borderId="1" xfId="0" applyNumberFormat="1" applyFont="1" applyFill="1" applyBorder="1" applyAlignment="1" applyProtection="1">
      <alignment horizontal="center" vertical="center"/>
      <protection locked="0"/>
    </xf>
    <xf numFmtId="179" fontId="0" fillId="6" borderId="1" xfId="0" applyNumberForma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172" fontId="0" fillId="6" borderId="1" xfId="0" applyNumberFormat="1" applyFill="1" applyBorder="1" applyAlignment="1" applyProtection="1">
      <alignment horizontal="center"/>
      <protection locked="0"/>
    </xf>
    <xf numFmtId="173" fontId="0" fillId="6" borderId="1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79" fontId="0" fillId="6" borderId="1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0" fontId="5" fillId="0" borderId="22" xfId="0" applyFont="1" applyBorder="1" applyAlignment="1">
      <alignment horizontal="left"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0" fontId="32" fillId="0" borderId="0" xfId="0" applyFont="1" applyAlignment="1">
      <alignment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41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7" borderId="10" xfId="0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35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10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2" fillId="0" borderId="0" xfId="15" applyFont="1" applyAlignment="1">
      <alignment wrapText="1"/>
    </xf>
    <xf numFmtId="0" fontId="42" fillId="0" borderId="0" xfId="15" applyAlignment="1">
      <alignment wrapText="1"/>
    </xf>
    <xf numFmtId="49" fontId="4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42" fillId="0" borderId="0" xfId="15" applyNumberFormat="1" applyAlignment="1">
      <alignment wrapText="1"/>
    </xf>
    <xf numFmtId="49" fontId="0" fillId="0" borderId="0" xfId="0" applyNumberFormat="1" applyAlignment="1">
      <alignment/>
    </xf>
    <xf numFmtId="49" fontId="42" fillId="3" borderId="0" xfId="15" applyNumberFormat="1" applyFont="1" applyFill="1" applyAlignment="1" applyProtection="1">
      <alignment/>
      <protection locked="0"/>
    </xf>
    <xf numFmtId="49" fontId="0" fillId="3" borderId="0" xfId="0" applyNumberFormat="1" applyFill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textRotation="90"/>
    </xf>
    <xf numFmtId="0" fontId="3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45" fillId="0" borderId="3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6" borderId="3" xfId="0" applyNumberFormat="1" applyFill="1" applyBorder="1" applyAlignment="1" applyProtection="1">
      <alignment horizontal="center"/>
      <protection locked="0"/>
    </xf>
    <xf numFmtId="2" fontId="0" fillId="6" borderId="5" xfId="0" applyNumberFormat="1" applyFill="1" applyBorder="1" applyAlignment="1" applyProtection="1">
      <alignment horizontal="center"/>
      <protection locked="0"/>
    </xf>
    <xf numFmtId="2" fontId="0" fillId="0" borderId="36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right"/>
    </xf>
    <xf numFmtId="175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3" fontId="0" fillId="0" borderId="3" xfId="0" applyNumberFormat="1" applyFill="1" applyBorder="1" applyAlignment="1">
      <alignment horizontal="center"/>
    </xf>
    <xf numFmtId="173" fontId="0" fillId="0" borderId="5" xfId="0" applyNumberFormat="1" applyFill="1" applyBorder="1" applyAlignment="1">
      <alignment horizontal="center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9" fontId="0" fillId="0" borderId="36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5" fontId="2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75" fontId="0" fillId="0" borderId="3" xfId="0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5" fontId="0" fillId="0" borderId="3" xfId="0" applyNumberFormat="1" applyFont="1" applyFill="1" applyBorder="1" applyAlignment="1">
      <alignment horizontal="center"/>
    </xf>
    <xf numFmtId="175" fontId="0" fillId="0" borderId="5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5" fontId="1" fillId="0" borderId="3" xfId="0" applyNumberFormat="1" applyFont="1" applyFill="1" applyBorder="1" applyAlignment="1">
      <alignment horizontal="center"/>
    </xf>
    <xf numFmtId="175" fontId="1" fillId="0" borderId="5" xfId="0" applyNumberFormat="1" applyFont="1" applyFill="1" applyBorder="1" applyAlignment="1">
      <alignment horizontal="center"/>
    </xf>
    <xf numFmtId="175" fontId="1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4" fontId="0" fillId="6" borderId="3" xfId="0" applyNumberFormat="1" applyFill="1" applyBorder="1" applyAlignment="1" applyProtection="1">
      <alignment horizontal="center"/>
      <protection locked="0"/>
    </xf>
    <xf numFmtId="4" fontId="0" fillId="6" borderId="5" xfId="0" applyNumberForma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 applyProtection="1">
      <alignment horizontal="center"/>
      <protection locked="0"/>
    </xf>
    <xf numFmtId="179" fontId="0" fillId="6" borderId="1" xfId="0" applyNumberFormat="1" applyFill="1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 wrapText="1"/>
    </xf>
    <xf numFmtId="179" fontId="0" fillId="6" borderId="3" xfId="0" applyNumberFormat="1" applyFill="1" applyBorder="1" applyAlignment="1" applyProtection="1">
      <alignment horizontal="center"/>
      <protection locked="0"/>
    </xf>
    <xf numFmtId="179" fontId="0" fillId="6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4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142875</xdr:rowOff>
    </xdr:from>
    <xdr:to>
      <xdr:col>11</xdr:col>
      <xdr:colOff>142875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6496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9"/>
  <sheetViews>
    <sheetView tabSelected="1" workbookViewId="0" topLeftCell="A3">
      <selection activeCell="AD38" sqref="AD38"/>
    </sheetView>
  </sheetViews>
  <sheetFormatPr defaultColWidth="9.140625" defaultRowHeight="12.75"/>
  <cols>
    <col min="2" max="2" width="3.28125" style="0" customWidth="1"/>
    <col min="3" max="3" width="17.28125" style="0" customWidth="1"/>
    <col min="4" max="4" width="10.7109375" style="0" customWidth="1"/>
    <col min="5" max="5" width="10.28125" style="0" customWidth="1"/>
    <col min="6" max="6" width="11.28125" style="0" customWidth="1"/>
    <col min="7" max="7" width="10.00390625" style="0" customWidth="1"/>
    <col min="8" max="8" width="10.7109375" style="0" customWidth="1"/>
    <col min="9" max="9" width="2.7109375" style="0" customWidth="1"/>
    <col min="10" max="10" width="5.7109375" style="0" customWidth="1"/>
    <col min="11" max="11" width="15.140625" style="0" customWidth="1"/>
    <col min="12" max="12" width="2.7109375" style="0" customWidth="1"/>
    <col min="13" max="13" width="8.8515625" style="0" hidden="1" customWidth="1"/>
    <col min="14" max="14" width="12.421875" style="0" hidden="1" customWidth="1"/>
    <col min="15" max="15" width="12.140625" style="0" hidden="1" customWidth="1"/>
    <col min="16" max="16" width="8.8515625" style="0" hidden="1" customWidth="1"/>
    <col min="17" max="17" width="11.140625" style="0" hidden="1" customWidth="1"/>
    <col min="18" max="18" width="12.421875" style="0" hidden="1" customWidth="1"/>
    <col min="19" max="19" width="11.7109375" style="0" hidden="1" customWidth="1"/>
    <col min="20" max="20" width="8.8515625" style="0" hidden="1" customWidth="1"/>
    <col min="21" max="21" width="10.7109375" style="0" hidden="1" customWidth="1"/>
    <col min="22" max="25" width="8.8515625" style="0" hidden="1" customWidth="1"/>
  </cols>
  <sheetData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0.5" customHeight="1" hidden="1">
      <c r="B10" s="3"/>
      <c r="C10" s="93"/>
      <c r="D10" s="3"/>
      <c r="E10" s="3"/>
      <c r="F10" s="3"/>
      <c r="G10" s="3"/>
      <c r="H10" s="3"/>
      <c r="I10" s="3"/>
      <c r="J10" s="3"/>
      <c r="K10" s="3"/>
      <c r="L10" s="3"/>
    </row>
    <row r="11" spans="2:12" ht="10.5" customHeight="1" hidden="1">
      <c r="B11" s="3"/>
      <c r="C11" s="93"/>
      <c r="D11" s="3"/>
      <c r="E11" s="3"/>
      <c r="F11" s="3"/>
      <c r="G11" s="3"/>
      <c r="H11" s="3"/>
      <c r="I11" s="3"/>
      <c r="J11" s="3"/>
      <c r="K11" s="3"/>
      <c r="L11" s="3"/>
    </row>
    <row r="12" spans="2:12" ht="10.5" customHeight="1" hidden="1">
      <c r="B12" s="3"/>
      <c r="C12" s="93"/>
      <c r="D12" s="3"/>
      <c r="E12" s="3"/>
      <c r="F12" s="3"/>
      <c r="G12" s="3"/>
      <c r="H12" s="3"/>
      <c r="I12" s="3"/>
      <c r="J12" s="3"/>
      <c r="K12" s="3"/>
      <c r="L12" s="3"/>
    </row>
    <row r="13" spans="2:12" ht="10.5" customHeight="1" hidden="1">
      <c r="B13" s="3"/>
      <c r="C13" s="93"/>
      <c r="D13" s="3"/>
      <c r="E13" s="3"/>
      <c r="F13" s="3"/>
      <c r="G13" s="3"/>
      <c r="H13" s="3"/>
      <c r="I13" s="3"/>
      <c r="J13" s="3"/>
      <c r="K13" s="3"/>
      <c r="L13" s="3"/>
    </row>
    <row r="14" spans="2:12" ht="10.5" customHeight="1" hidden="1">
      <c r="B14" s="3"/>
      <c r="C14" s="93"/>
      <c r="D14" s="3"/>
      <c r="E14" s="3"/>
      <c r="F14" s="3"/>
      <c r="G14" s="3"/>
      <c r="H14" s="3"/>
      <c r="I14" s="3"/>
      <c r="J14" s="3"/>
      <c r="K14" s="3"/>
      <c r="L14" s="3"/>
    </row>
    <row r="15" spans="2:12" ht="12.75">
      <c r="B15" s="3"/>
      <c r="C15" s="107"/>
      <c r="D15" s="3"/>
      <c r="E15" s="3"/>
      <c r="F15" s="3"/>
      <c r="G15" s="3"/>
      <c r="H15" s="3"/>
      <c r="I15" s="3"/>
      <c r="J15" s="3"/>
      <c r="K15" s="3"/>
      <c r="L15" s="3"/>
    </row>
    <row r="16" spans="2:12" ht="21" customHeight="1">
      <c r="B16" s="3"/>
      <c r="C16" s="480" t="s">
        <v>413</v>
      </c>
      <c r="D16" s="481"/>
      <c r="E16" s="481"/>
      <c r="F16" s="481"/>
      <c r="G16" s="481"/>
      <c r="H16" s="481"/>
      <c r="I16" s="481"/>
      <c r="J16" s="481"/>
      <c r="K16" s="481"/>
      <c r="L16" s="3"/>
    </row>
    <row r="17" spans="2:12" ht="12.75">
      <c r="B17" s="3"/>
      <c r="C17" s="107"/>
      <c r="D17" s="3"/>
      <c r="E17" s="3"/>
      <c r="F17" s="3"/>
      <c r="G17" s="3"/>
      <c r="H17" s="3"/>
      <c r="I17" s="3"/>
      <c r="J17" s="3"/>
      <c r="K17" s="3"/>
      <c r="L17" s="3"/>
    </row>
    <row r="18" spans="2:12" ht="19.5" customHeight="1">
      <c r="B18" s="3"/>
      <c r="C18" s="273" t="s">
        <v>346</v>
      </c>
      <c r="D18" s="482"/>
      <c r="E18" s="482"/>
      <c r="F18" s="482"/>
      <c r="G18" s="482"/>
      <c r="H18" s="482"/>
      <c r="I18" s="482"/>
      <c r="J18" s="10" t="s">
        <v>347</v>
      </c>
      <c r="K18" s="445"/>
      <c r="L18" s="3"/>
    </row>
    <row r="19" spans="2:12" ht="12.75">
      <c r="B19" s="3"/>
      <c r="C19" s="107"/>
      <c r="D19" s="3"/>
      <c r="E19" s="3"/>
      <c r="F19" s="3"/>
      <c r="G19" s="3"/>
      <c r="H19" s="3"/>
      <c r="I19" s="3"/>
      <c r="J19" s="3"/>
      <c r="K19" s="3"/>
      <c r="L19" s="3"/>
    </row>
    <row r="20" spans="2:12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2.75">
      <c r="B21" s="3"/>
      <c r="C21" s="5" t="s">
        <v>389</v>
      </c>
      <c r="D21" s="93" t="s">
        <v>159</v>
      </c>
      <c r="E21" s="3"/>
      <c r="F21" s="3"/>
      <c r="G21" s="3"/>
      <c r="H21" s="3"/>
      <c r="I21" s="3"/>
      <c r="J21" s="3" t="s">
        <v>86</v>
      </c>
      <c r="K21" s="111">
        <f>'QCC_Scheda A'!S117</f>
        <v>0</v>
      </c>
      <c r="L21" s="3"/>
    </row>
    <row r="22" spans="2:12" ht="13.5" customHeight="1">
      <c r="B22" s="3"/>
      <c r="C22" s="483" t="s">
        <v>410</v>
      </c>
      <c r="D22" s="483"/>
      <c r="E22" s="483"/>
      <c r="F22" s="483"/>
      <c r="G22" s="483"/>
      <c r="H22" s="483"/>
      <c r="I22" s="483"/>
      <c r="J22" s="483"/>
      <c r="K22" s="483"/>
      <c r="L22" s="120"/>
    </row>
    <row r="23" spans="2:12" ht="3" customHeight="1">
      <c r="B23" s="3"/>
      <c r="C23" s="143"/>
      <c r="D23" s="3"/>
      <c r="E23" s="3"/>
      <c r="F23" s="3"/>
      <c r="G23" s="3"/>
      <c r="H23" s="3"/>
      <c r="I23" s="3"/>
      <c r="J23" s="3"/>
      <c r="K23" s="3"/>
      <c r="L23" s="3"/>
    </row>
    <row r="24" spans="2:12" ht="12.75">
      <c r="B24" s="3"/>
      <c r="C24" s="5" t="s">
        <v>344</v>
      </c>
      <c r="D24" s="3"/>
      <c r="E24" s="3"/>
      <c r="F24" s="3"/>
      <c r="G24" s="3"/>
      <c r="H24" s="3"/>
      <c r="I24" s="3"/>
      <c r="J24" s="3" t="s">
        <v>86</v>
      </c>
      <c r="K24" s="111">
        <f>'QCC per CD resid'!P124</f>
        <v>0</v>
      </c>
      <c r="L24" s="3"/>
    </row>
    <row r="25" spans="2:12" ht="3" customHeight="1">
      <c r="B25" s="3"/>
      <c r="C25" s="143"/>
      <c r="D25" s="3"/>
      <c r="E25" s="3"/>
      <c r="F25" s="3"/>
      <c r="G25" s="3"/>
      <c r="H25" s="3"/>
      <c r="I25" s="3"/>
      <c r="J25" s="3"/>
      <c r="K25" s="3"/>
      <c r="L25" s="3"/>
    </row>
    <row r="26" spans="2:12" ht="12.75">
      <c r="B26" s="3"/>
      <c r="C26" s="5" t="s">
        <v>390</v>
      </c>
      <c r="D26" s="93" t="s">
        <v>159</v>
      </c>
      <c r="E26" s="3"/>
      <c r="F26" s="3"/>
      <c r="G26" s="3"/>
      <c r="H26" s="3"/>
      <c r="I26" s="3"/>
      <c r="J26" s="3" t="s">
        <v>86</v>
      </c>
      <c r="K26" s="111">
        <f>'QCC_Scheda B'!Y76</f>
        <v>0</v>
      </c>
      <c r="L26" s="3"/>
    </row>
    <row r="27" spans="2:12" ht="12.75">
      <c r="B27" s="3"/>
      <c r="C27" s="93" t="s">
        <v>160</v>
      </c>
      <c r="D27" s="3"/>
      <c r="E27" s="3"/>
      <c r="F27" s="3"/>
      <c r="G27" s="3"/>
      <c r="H27" s="3"/>
      <c r="I27" s="3"/>
      <c r="J27" s="3"/>
      <c r="K27" s="111"/>
      <c r="L27" s="120"/>
    </row>
    <row r="28" spans="2:12" ht="3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20.25" customHeight="1">
      <c r="B29" s="3"/>
      <c r="C29" s="286" t="s">
        <v>391</v>
      </c>
      <c r="D29" s="483" t="s">
        <v>161</v>
      </c>
      <c r="E29" s="483"/>
      <c r="F29" s="483"/>
      <c r="G29" s="483"/>
      <c r="H29" s="483"/>
      <c r="I29" s="3"/>
      <c r="J29" s="355" t="s">
        <v>86</v>
      </c>
      <c r="K29" s="356">
        <f>'QCC_Scheda C'!T55</f>
        <v>0</v>
      </c>
      <c r="L29" s="3"/>
    </row>
    <row r="30" spans="2:12" ht="12" customHeight="1">
      <c r="B30" s="3"/>
      <c r="C30" s="483" t="s">
        <v>411</v>
      </c>
      <c r="D30" s="483"/>
      <c r="E30" s="483"/>
      <c r="F30" s="483"/>
      <c r="G30" s="483"/>
      <c r="H30" s="483"/>
      <c r="I30" s="3"/>
      <c r="J30" s="3"/>
      <c r="K30" s="3"/>
      <c r="L30" s="3"/>
    </row>
    <row r="31" spans="2:12" ht="3" customHeight="1">
      <c r="B31" s="3"/>
      <c r="C31" s="143"/>
      <c r="D31" s="3"/>
      <c r="E31" s="3"/>
      <c r="F31" s="3"/>
      <c r="G31" s="3"/>
      <c r="H31" s="3"/>
      <c r="I31" s="3"/>
      <c r="J31" s="3"/>
      <c r="K31" s="3"/>
      <c r="L31" s="3"/>
    </row>
    <row r="32" spans="2:12" ht="12.75">
      <c r="B32" s="3"/>
      <c r="C32" s="5" t="s">
        <v>392</v>
      </c>
      <c r="D32" s="3"/>
      <c r="E32" s="3"/>
      <c r="F32" s="3"/>
      <c r="G32" s="3"/>
      <c r="H32" s="3"/>
      <c r="I32" s="3"/>
      <c r="J32" s="3" t="s">
        <v>86</v>
      </c>
      <c r="K32" s="111">
        <f>'QCC per CD  NON resid'!Q62</f>
        <v>0</v>
      </c>
      <c r="L32" s="3"/>
    </row>
    <row r="33" spans="2:12" ht="3" customHeight="1">
      <c r="B33" s="3"/>
      <c r="C33" s="143"/>
      <c r="D33" s="3"/>
      <c r="E33" s="3"/>
      <c r="F33" s="3"/>
      <c r="G33" s="3"/>
      <c r="H33" s="3"/>
      <c r="I33" s="3"/>
      <c r="J33" s="3"/>
      <c r="K33" s="3"/>
      <c r="L33" s="3"/>
    </row>
    <row r="34" spans="2:12" ht="12.75" hidden="1">
      <c r="B34" s="3"/>
      <c r="C34" s="143"/>
      <c r="D34" s="3"/>
      <c r="E34" s="3"/>
      <c r="F34" s="3"/>
      <c r="G34" s="3"/>
      <c r="H34" s="3"/>
      <c r="I34" s="3"/>
      <c r="J34" s="3"/>
      <c r="K34" s="3"/>
      <c r="L34" s="3"/>
    </row>
    <row r="35" spans="2:12" ht="21" customHeight="1">
      <c r="B35" s="3"/>
      <c r="C35" s="286" t="s">
        <v>393</v>
      </c>
      <c r="D35" s="483" t="s">
        <v>161</v>
      </c>
      <c r="E35" s="483"/>
      <c r="F35" s="483"/>
      <c r="G35" s="483"/>
      <c r="H35" s="483"/>
      <c r="I35" s="3"/>
      <c r="J35" s="355" t="s">
        <v>86</v>
      </c>
      <c r="K35" s="356">
        <f>'QCC_Scheda D'!W71</f>
        <v>0</v>
      </c>
      <c r="L35" s="3"/>
    </row>
    <row r="36" spans="2:19" ht="12.75">
      <c r="B36" s="3"/>
      <c r="C36" s="93" t="s">
        <v>160</v>
      </c>
      <c r="D36" s="3"/>
      <c r="E36" s="3"/>
      <c r="F36" s="3"/>
      <c r="G36" s="3"/>
      <c r="H36" s="3"/>
      <c r="I36" s="3"/>
      <c r="J36" s="3"/>
      <c r="K36" s="3"/>
      <c r="L36" s="3"/>
      <c r="S36" s="376">
        <f>K60</f>
        <v>0</v>
      </c>
    </row>
    <row r="37" spans="2:12" ht="12.75" hidden="1">
      <c r="B37" s="3"/>
      <c r="C37" s="14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143"/>
      <c r="D38" s="3"/>
      <c r="E38" s="3"/>
      <c r="F38" s="3"/>
      <c r="G38" s="3"/>
      <c r="H38" s="3"/>
      <c r="I38" s="3"/>
      <c r="J38" s="3"/>
      <c r="K38" s="3"/>
      <c r="L38" s="3"/>
    </row>
    <row r="39" spans="2:19" ht="12.75">
      <c r="B39" s="3"/>
      <c r="C39" s="5" t="s">
        <v>412</v>
      </c>
      <c r="D39" s="3"/>
      <c r="E39" s="3"/>
      <c r="F39" s="3"/>
      <c r="G39" s="3"/>
      <c r="H39" s="98" t="s">
        <v>338</v>
      </c>
      <c r="I39" s="3"/>
      <c r="J39" s="3" t="s">
        <v>86</v>
      </c>
      <c r="K39" s="111">
        <f>Q39</f>
        <v>0</v>
      </c>
      <c r="L39" s="3"/>
      <c r="Q39">
        <f>IF($K$60=0,$R39,$S39)</f>
        <v>0</v>
      </c>
      <c r="R39" s="377">
        <f>'U1 e U2'!V79</f>
        <v>0</v>
      </c>
      <c r="S39" s="375">
        <f>IF(S36&lt;R39,R39-S36,0)</f>
        <v>0</v>
      </c>
    </row>
    <row r="40" spans="2:19" ht="12.75">
      <c r="B40" s="3"/>
      <c r="C40" s="5" t="s">
        <v>412</v>
      </c>
      <c r="D40" s="3"/>
      <c r="E40" s="3"/>
      <c r="F40" s="3"/>
      <c r="G40" s="3"/>
      <c r="H40" s="98" t="s">
        <v>339</v>
      </c>
      <c r="I40" s="3"/>
      <c r="J40" s="3" t="s">
        <v>86</v>
      </c>
      <c r="K40" s="111">
        <f>Q40</f>
        <v>0</v>
      </c>
      <c r="L40" s="3"/>
      <c r="Q40">
        <f>IF($K$60=0,$R40,$S40)</f>
        <v>0</v>
      </c>
      <c r="R40" s="377">
        <f>'U1 e U2'!V80</f>
        <v>0</v>
      </c>
      <c r="S40" s="375">
        <f>IF(S36&lt;(R39+R40),(R40+R39-S36),0)</f>
        <v>0</v>
      </c>
    </row>
    <row r="41" spans="2:19" ht="12.75">
      <c r="B41" s="3"/>
      <c r="C41" s="5" t="s">
        <v>412</v>
      </c>
      <c r="D41" s="3"/>
      <c r="E41" s="94" t="s">
        <v>350</v>
      </c>
      <c r="F41" s="3"/>
      <c r="G41" s="3"/>
      <c r="H41" s="98" t="s">
        <v>338</v>
      </c>
      <c r="I41" s="3"/>
      <c r="J41" s="3" t="s">
        <v>86</v>
      </c>
      <c r="K41" s="111">
        <f>Q41</f>
        <v>0</v>
      </c>
      <c r="L41" s="3"/>
      <c r="Q41">
        <f>IF($K$60=0,$R41,$S41)</f>
        <v>0</v>
      </c>
      <c r="R41" s="377">
        <f>'CD_U1_U2_Monetizz.'!M53</f>
        <v>0</v>
      </c>
      <c r="S41" s="375">
        <f>IF(S36&lt;(R39+R40+R41),(R41+R40+R39-S36-S40),0)</f>
        <v>0</v>
      </c>
    </row>
    <row r="42" spans="2:21" ht="12.75">
      <c r="B42" s="3"/>
      <c r="C42" s="5" t="s">
        <v>412</v>
      </c>
      <c r="D42" s="3"/>
      <c r="E42" s="94" t="s">
        <v>350</v>
      </c>
      <c r="F42" s="3"/>
      <c r="G42" s="3"/>
      <c r="H42" s="98" t="s">
        <v>339</v>
      </c>
      <c r="I42" s="3"/>
      <c r="J42" s="3" t="s">
        <v>86</v>
      </c>
      <c r="K42" s="111">
        <f>Q42</f>
        <v>0</v>
      </c>
      <c r="L42" s="3"/>
      <c r="Q42">
        <f>IF($K$60=0,$R42,$S42)</f>
        <v>0</v>
      </c>
      <c r="R42" s="377">
        <f>'CD_U1_U2_Monetizz.'!M54</f>
        <v>0</v>
      </c>
      <c r="S42" s="375">
        <f>IF(S36&lt;(R39+R40+R41+R42),(R42+R41+R40+R39-S36-S41-S40),0)</f>
        <v>0</v>
      </c>
      <c r="U42" s="298"/>
    </row>
    <row r="43" spans="2:12" ht="12.75">
      <c r="B43" s="3"/>
      <c r="C43" s="3"/>
      <c r="D43" s="3"/>
      <c r="E43" s="94"/>
      <c r="F43" s="3"/>
      <c r="G43" s="3"/>
      <c r="H43" s="3"/>
      <c r="I43" s="3"/>
      <c r="J43" s="3"/>
      <c r="K43" s="3"/>
      <c r="L43" s="3"/>
    </row>
    <row r="44" spans="2:12" ht="12.75">
      <c r="B44" s="3"/>
      <c r="C44" s="122" t="s">
        <v>194</v>
      </c>
      <c r="D44" s="122" t="s">
        <v>205</v>
      </c>
      <c r="E44" s="94"/>
      <c r="F44" s="3"/>
      <c r="G44" s="3"/>
      <c r="H44" s="3"/>
      <c r="I44" s="3"/>
      <c r="J44" s="3" t="s">
        <v>86</v>
      </c>
      <c r="K44" s="111">
        <f>Monetizzazioni!K15</f>
        <v>0</v>
      </c>
      <c r="L44" s="3"/>
    </row>
    <row r="45" spans="2:12" ht="12.75">
      <c r="B45" s="3"/>
      <c r="C45" s="122" t="s">
        <v>194</v>
      </c>
      <c r="D45" s="122" t="s">
        <v>205</v>
      </c>
      <c r="E45" s="94" t="s">
        <v>350</v>
      </c>
      <c r="F45" s="3"/>
      <c r="G45" s="3"/>
      <c r="H45" s="3"/>
      <c r="I45" s="3"/>
      <c r="J45" s="3" t="s">
        <v>86</v>
      </c>
      <c r="K45" s="111">
        <f>'CD_U1_U2_Monetizz.'!T72</f>
        <v>0</v>
      </c>
      <c r="L45" s="3"/>
    </row>
    <row r="46" spans="2:12" ht="12.75">
      <c r="B46" s="3"/>
      <c r="C46" s="3"/>
      <c r="D46" s="3"/>
      <c r="E46" s="94"/>
      <c r="F46" s="3"/>
      <c r="G46" s="3"/>
      <c r="H46" s="3"/>
      <c r="I46" s="3"/>
      <c r="J46" s="3"/>
      <c r="K46" s="3"/>
      <c r="L46" s="3"/>
    </row>
    <row r="47" spans="2:12" ht="12.75">
      <c r="B47" s="3"/>
      <c r="C47" s="122" t="s">
        <v>194</v>
      </c>
      <c r="D47" s="5" t="s">
        <v>206</v>
      </c>
      <c r="E47" s="94"/>
      <c r="F47" s="3"/>
      <c r="G47" s="3"/>
      <c r="H47" s="3"/>
      <c r="I47" s="3"/>
      <c r="J47" s="3" t="s">
        <v>86</v>
      </c>
      <c r="K47" s="111">
        <f>Monetizzazioni!K22</f>
        <v>0</v>
      </c>
      <c r="L47" s="3"/>
    </row>
    <row r="48" spans="2:12" ht="12.75">
      <c r="B48" s="3"/>
      <c r="C48" s="122" t="s">
        <v>194</v>
      </c>
      <c r="D48" s="5" t="s">
        <v>206</v>
      </c>
      <c r="E48" s="94" t="s">
        <v>350</v>
      </c>
      <c r="F48" s="3"/>
      <c r="G48" s="3"/>
      <c r="H48" s="3"/>
      <c r="I48" s="3"/>
      <c r="J48" s="3" t="s">
        <v>86</v>
      </c>
      <c r="K48" s="111">
        <f>'CD_U1_U2_Monetizz.'!T79</f>
        <v>0</v>
      </c>
      <c r="L48" s="3"/>
    </row>
    <row r="49" spans="2:12" ht="12.75">
      <c r="B49" s="3"/>
      <c r="C49" s="3"/>
      <c r="D49" s="3"/>
      <c r="E49" s="94"/>
      <c r="F49" s="3"/>
      <c r="G49" s="3"/>
      <c r="H49" s="3"/>
      <c r="I49" s="3"/>
      <c r="J49" s="3"/>
      <c r="K49" s="3"/>
      <c r="L49" s="3"/>
    </row>
    <row r="50" spans="2:12" ht="12.75">
      <c r="B50" s="3"/>
      <c r="C50" s="5" t="s">
        <v>394</v>
      </c>
      <c r="D50" s="3"/>
      <c r="E50" s="3"/>
      <c r="F50" s="3"/>
      <c r="G50" s="3"/>
      <c r="H50" s="3"/>
      <c r="I50" s="3"/>
      <c r="J50" s="3"/>
      <c r="K50" s="3"/>
      <c r="L50" s="3"/>
    </row>
    <row r="51" spans="2:19" ht="12.75">
      <c r="B51" s="3"/>
      <c r="C51" s="93" t="s">
        <v>98</v>
      </c>
      <c r="D51" s="3"/>
      <c r="E51" s="3"/>
      <c r="F51" s="3"/>
      <c r="G51" s="3"/>
      <c r="H51" s="3"/>
      <c r="I51" s="3"/>
      <c r="J51" s="3" t="s">
        <v>86</v>
      </c>
      <c r="K51" s="111">
        <f>Q51</f>
        <v>0</v>
      </c>
      <c r="L51" s="3"/>
      <c r="Q51" s="375">
        <f>IF($K$60=0,$R51,$S51)</f>
        <v>0</v>
      </c>
      <c r="R51" s="377">
        <f>'Contributi D e S'!R18</f>
        <v>0</v>
      </c>
      <c r="S51" s="375">
        <f>IF(S36&lt;(R39+R40+R41+R42+R51),(R51+R42+R41+R40+R39-S36-S42-S41-S40),0)</f>
        <v>0</v>
      </c>
    </row>
    <row r="52" spans="2:18" ht="3" customHeight="1">
      <c r="B52" s="3"/>
      <c r="C52" s="143"/>
      <c r="D52" s="3"/>
      <c r="E52" s="3"/>
      <c r="F52" s="3"/>
      <c r="G52" s="3"/>
      <c r="H52" s="3"/>
      <c r="I52" s="3"/>
      <c r="J52" s="3"/>
      <c r="K52" s="111"/>
      <c r="L52" s="3"/>
      <c r="Q52" s="375"/>
      <c r="R52" s="378"/>
    </row>
    <row r="53" spans="2:19" ht="12.75">
      <c r="B53" s="3"/>
      <c r="C53" s="93" t="s">
        <v>97</v>
      </c>
      <c r="D53" s="3"/>
      <c r="E53" s="3"/>
      <c r="F53" s="3"/>
      <c r="G53" s="3"/>
      <c r="H53" s="3"/>
      <c r="I53" s="3"/>
      <c r="J53" s="3" t="s">
        <v>86</v>
      </c>
      <c r="K53" s="111">
        <f>Q53</f>
        <v>0</v>
      </c>
      <c r="L53" s="3"/>
      <c r="Q53" s="375">
        <f>IF($K$60=0,$R53,$S53)</f>
        <v>0</v>
      </c>
      <c r="R53" s="377">
        <f>'Contributi D e S'!R37</f>
        <v>0</v>
      </c>
      <c r="S53" s="375">
        <f>IF(S36&lt;(R39+R40+R41+R42+R51+R53),R53+R51+R42+R41+R40+R39-S36-S51-S42-S41-S40,0)</f>
        <v>0</v>
      </c>
    </row>
    <row r="54" spans="2:17" ht="12.75" hidden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Q54">
        <f>IF($K$60=0,$R54,$S54)</f>
        <v>0</v>
      </c>
    </row>
    <row r="55" spans="2:1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3.5" customHeight="1">
      <c r="B56" s="3"/>
      <c r="C56" s="3"/>
      <c r="D56" s="3"/>
      <c r="E56" s="3"/>
      <c r="F56" s="3"/>
      <c r="G56" s="3"/>
      <c r="H56" s="3"/>
      <c r="I56" s="3"/>
      <c r="J56" s="3"/>
      <c r="K56" s="111"/>
      <c r="L56" s="3"/>
    </row>
    <row r="57" spans="2:12" ht="12.75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2.75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8" ht="12.75">
      <c r="B60" s="3"/>
      <c r="C60" s="3"/>
      <c r="D60" s="3"/>
      <c r="E60" s="3"/>
      <c r="F60" s="3"/>
      <c r="G60" s="3" t="s">
        <v>345</v>
      </c>
      <c r="H60" s="3"/>
      <c r="I60" s="3"/>
      <c r="J60" s="3" t="s">
        <v>86</v>
      </c>
      <c r="K60" s="409"/>
      <c r="L60" s="3"/>
      <c r="R60" s="375">
        <f>SUM(R39:R53)</f>
        <v>0</v>
      </c>
    </row>
    <row r="61" spans="2:12" ht="51" customHeight="1">
      <c r="B61" s="3"/>
      <c r="C61" s="486">
        <f>IF(S36&gt;R60,"Attenzione importo superiore alla somma di U1 U2 e contributi d s, inserire il valore totale di U1+U2+d+s","")</f>
      </c>
      <c r="D61" s="486"/>
      <c r="E61" s="486"/>
      <c r="F61" s="486"/>
      <c r="G61" s="485" t="s">
        <v>513</v>
      </c>
      <c r="H61" s="485"/>
      <c r="I61" s="485"/>
      <c r="J61" s="485"/>
      <c r="K61" s="485"/>
      <c r="L61" s="3"/>
    </row>
    <row r="62" spans="2:12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2.75" hidden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2.75">
      <c r="B64" s="3"/>
      <c r="C64" s="3"/>
      <c r="D64" s="3"/>
      <c r="E64" s="3"/>
      <c r="F64" s="3"/>
      <c r="G64" s="5" t="s">
        <v>348</v>
      </c>
      <c r="H64" s="3"/>
      <c r="I64" s="3"/>
      <c r="J64" s="3"/>
      <c r="K64" s="285">
        <f>SUM(K21+K24+K26+K29+K32+K35+K39+K40+K41+K42+K44+K45+K47+K48+K51+K53)</f>
        <v>0</v>
      </c>
      <c r="L64" s="3"/>
    </row>
    <row r="65" spans="2:12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2.75" hidden="1"/>
    <row r="67" ht="12.75" customHeight="1" hidden="1"/>
    <row r="68" spans="3:11" ht="16.5" customHeight="1">
      <c r="C68" s="484" t="s">
        <v>399</v>
      </c>
      <c r="D68" s="484"/>
      <c r="E68" s="484"/>
      <c r="F68" s="484"/>
      <c r="G68" s="484"/>
      <c r="H68" s="484"/>
      <c r="I68" s="484"/>
      <c r="J68" s="484"/>
      <c r="K68" s="484"/>
    </row>
    <row r="69" spans="5:11" ht="12" customHeight="1">
      <c r="E69" s="353" t="s">
        <v>405</v>
      </c>
      <c r="F69" s="353" t="s">
        <v>406</v>
      </c>
      <c r="G69" s="353" t="s">
        <v>407</v>
      </c>
      <c r="H69" s="353" t="s">
        <v>408</v>
      </c>
      <c r="J69" s="478" t="s">
        <v>476</v>
      </c>
      <c r="K69" s="478"/>
    </row>
    <row r="70" spans="10:11" ht="14.25" customHeight="1">
      <c r="J70" s="479"/>
      <c r="K70" s="479"/>
    </row>
    <row r="71" spans="3:11" ht="12.75" customHeight="1">
      <c r="C71" s="352" t="s">
        <v>400</v>
      </c>
      <c r="D71" s="14"/>
      <c r="E71" s="410"/>
      <c r="F71" s="410"/>
      <c r="G71" s="410"/>
      <c r="H71" s="410"/>
      <c r="I71" s="15"/>
      <c r="J71" s="17"/>
      <c r="K71" s="357">
        <f>SUM(E71:H71)</f>
        <v>0</v>
      </c>
    </row>
    <row r="72" spans="3:11" ht="12.75" customHeight="1">
      <c r="C72" s="352" t="s">
        <v>338</v>
      </c>
      <c r="D72" s="14"/>
      <c r="E72" s="410"/>
      <c r="F72" s="410"/>
      <c r="G72" s="410"/>
      <c r="H72" s="410"/>
      <c r="I72" s="21"/>
      <c r="J72" s="22"/>
      <c r="K72" s="357">
        <f aca="true" t="shared" si="0" ref="K72:K77">SUM(E72:H72)</f>
        <v>0</v>
      </c>
    </row>
    <row r="73" spans="3:11" ht="12.75" customHeight="1">
      <c r="C73" s="352" t="s">
        <v>339</v>
      </c>
      <c r="D73" s="14"/>
      <c r="E73" s="410"/>
      <c r="F73" s="410"/>
      <c r="G73" s="410"/>
      <c r="H73" s="410"/>
      <c r="I73" s="21"/>
      <c r="J73" s="22"/>
      <c r="K73" s="357">
        <f t="shared" si="0"/>
        <v>0</v>
      </c>
    </row>
    <row r="74" spans="3:11" ht="12.75" customHeight="1">
      <c r="C74" s="487" t="s">
        <v>401</v>
      </c>
      <c r="D74" s="488"/>
      <c r="E74" s="410"/>
      <c r="F74" s="410"/>
      <c r="G74" s="410"/>
      <c r="H74" s="410"/>
      <c r="I74" s="21"/>
      <c r="J74" s="22"/>
      <c r="K74" s="357">
        <f t="shared" si="0"/>
        <v>0</v>
      </c>
    </row>
    <row r="75" spans="3:11" ht="12.75" customHeight="1">
      <c r="C75" s="487" t="s">
        <v>402</v>
      </c>
      <c r="D75" s="488"/>
      <c r="E75" s="410"/>
      <c r="F75" s="410"/>
      <c r="G75" s="410"/>
      <c r="H75" s="410"/>
      <c r="I75" s="21"/>
      <c r="J75" s="22"/>
      <c r="K75" s="357">
        <f t="shared" si="0"/>
        <v>0</v>
      </c>
    </row>
    <row r="76" spans="3:11" ht="12.75" customHeight="1">
      <c r="C76" s="487" t="s">
        <v>403</v>
      </c>
      <c r="D76" s="488"/>
      <c r="E76" s="410"/>
      <c r="F76" s="410"/>
      <c r="G76" s="410"/>
      <c r="H76" s="410"/>
      <c r="I76" s="21"/>
      <c r="J76" s="22"/>
      <c r="K76" s="357">
        <f t="shared" si="0"/>
        <v>0</v>
      </c>
    </row>
    <row r="77" spans="3:11" ht="12.75" customHeight="1">
      <c r="C77" s="487" t="s">
        <v>404</v>
      </c>
      <c r="D77" s="488"/>
      <c r="E77" s="410"/>
      <c r="F77" s="410"/>
      <c r="G77" s="410"/>
      <c r="H77" s="410"/>
      <c r="I77" s="18"/>
      <c r="J77" s="20"/>
      <c r="K77" s="357">
        <f t="shared" si="0"/>
        <v>0</v>
      </c>
    </row>
    <row r="78" ht="7.5" customHeight="1"/>
    <row r="79" spans="6:11" ht="18" customHeight="1">
      <c r="F79" s="288" t="s">
        <v>409</v>
      </c>
      <c r="J79" s="287" t="s">
        <v>86</v>
      </c>
      <c r="K79" s="362">
        <f>SUM(K64+K71+K72+K73+K74+K75+K76+K77)</f>
        <v>0</v>
      </c>
    </row>
  </sheetData>
  <sheetProtection password="8090" sheet="1" objects="1" scenarios="1"/>
  <mergeCells count="14">
    <mergeCell ref="C74:D74"/>
    <mergeCell ref="C75:D75"/>
    <mergeCell ref="C76:D76"/>
    <mergeCell ref="C77:D77"/>
    <mergeCell ref="J69:K70"/>
    <mergeCell ref="C16:K16"/>
    <mergeCell ref="D18:I18"/>
    <mergeCell ref="D29:H29"/>
    <mergeCell ref="C22:K22"/>
    <mergeCell ref="C68:K68"/>
    <mergeCell ref="G61:K61"/>
    <mergeCell ref="D35:H35"/>
    <mergeCell ref="C61:F61"/>
    <mergeCell ref="C30:H30"/>
  </mergeCells>
  <printOptions horizontalCentered="1"/>
  <pageMargins left="0.3937007874015748" right="0.3937007874015748" top="0.2362204724409449" bottom="0.1968503937007874" header="0.4330708661417323" footer="0.2755905511811024"/>
  <pageSetup horizontalDpi="600" verticalDpi="600" orientation="portrait" paperSize="9" scale="90" r:id="rId2"/>
  <headerFooter alignWithMargins="0">
    <oddFooter>&amp;Cfoglio "Riepilogo"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U129"/>
  <sheetViews>
    <sheetView workbookViewId="0" topLeftCell="D1">
      <selection activeCell="AX60" sqref="AX60"/>
    </sheetView>
  </sheetViews>
  <sheetFormatPr defaultColWidth="9.140625" defaultRowHeight="12.75"/>
  <cols>
    <col min="1" max="1" width="0" style="0" hidden="1" customWidth="1"/>
    <col min="2" max="2" width="4.00390625" style="6" hidden="1" customWidth="1"/>
    <col min="3" max="3" width="0" style="0" hidden="1" customWidth="1"/>
    <col min="5" max="5" width="2.8515625" style="0" customWidth="1"/>
    <col min="6" max="6" width="11.7109375" style="0" customWidth="1"/>
    <col min="8" max="8" width="11.140625" style="0" customWidth="1"/>
    <col min="9" max="16" width="4.7109375" style="0" customWidth="1"/>
    <col min="17" max="17" width="5.28125" style="0" customWidth="1"/>
    <col min="18" max="18" width="4.7109375" style="0" customWidth="1"/>
    <col min="19" max="19" width="13.00390625" style="0" customWidth="1"/>
    <col min="20" max="20" width="4.28125" style="0" customWidth="1"/>
    <col min="21" max="21" width="1.28515625" style="0" customWidth="1"/>
    <col min="22" max="22" width="8.8515625" style="0" hidden="1" customWidth="1"/>
    <col min="23" max="23" width="12.7109375" style="0" hidden="1" customWidth="1"/>
    <col min="24" max="24" width="5.57421875" style="0" hidden="1" customWidth="1"/>
    <col min="25" max="25" width="5.8515625" style="0" hidden="1" customWidth="1"/>
    <col min="26" max="26" width="5.57421875" style="0" hidden="1" customWidth="1"/>
    <col min="27" max="27" width="5.421875" style="6" hidden="1" customWidth="1"/>
    <col min="28" max="28" width="5.57421875" style="0" hidden="1" customWidth="1"/>
    <col min="29" max="29" width="5.28125" style="0" hidden="1" customWidth="1"/>
    <col min="30" max="30" width="6.00390625" style="0" hidden="1" customWidth="1"/>
    <col min="31" max="31" width="5.28125" style="0" hidden="1" customWidth="1"/>
    <col min="32" max="34" width="4.7109375" style="0" hidden="1" customWidth="1"/>
    <col min="35" max="35" width="5.57421875" style="0" hidden="1" customWidth="1"/>
    <col min="36" max="36" width="5.8515625" style="0" hidden="1" customWidth="1"/>
    <col min="37" max="38" width="4.7109375" style="0" hidden="1" customWidth="1"/>
    <col min="39" max="46" width="8.8515625" style="0" hidden="1" customWidth="1"/>
    <col min="47" max="47" width="1.57421875" style="0" customWidth="1"/>
  </cols>
  <sheetData>
    <row r="2" spans="5:22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7" t="s">
        <v>185</v>
      </c>
    </row>
    <row r="3" spans="5:47" ht="18" customHeight="1">
      <c r="E3" s="3"/>
      <c r="F3" s="609" t="s">
        <v>506</v>
      </c>
      <c r="G3" s="60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U3" s="448"/>
    </row>
    <row r="4" spans="5:47" ht="12.75">
      <c r="E4" s="3"/>
      <c r="F4" s="3"/>
      <c r="G4" s="5" t="s">
        <v>317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AU4" s="448"/>
    </row>
    <row r="5" spans="5:47" ht="12.75">
      <c r="E5" s="3"/>
      <c r="F5" s="551" t="s">
        <v>316</v>
      </c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3"/>
      <c r="U5" s="3"/>
      <c r="AU5" s="448"/>
    </row>
    <row r="6" spans="5:47" ht="12.75">
      <c r="E6" s="3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3"/>
      <c r="U6" s="3"/>
      <c r="AU6" s="448"/>
    </row>
    <row r="7" spans="5:47" ht="7.5" customHeight="1">
      <c r="E7" s="3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3"/>
      <c r="U7" s="3"/>
      <c r="AU7" s="448"/>
    </row>
    <row r="8" spans="5:47" ht="12.75">
      <c r="E8" s="3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3"/>
      <c r="U8" s="3"/>
      <c r="AU8" s="448"/>
    </row>
    <row r="9" spans="5:47" ht="12.75">
      <c r="E9" s="3"/>
      <c r="F9" s="551" t="s">
        <v>505</v>
      </c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3"/>
      <c r="U9" s="3"/>
      <c r="AU9" s="448"/>
    </row>
    <row r="10" spans="5:47" ht="12.75">
      <c r="E10" s="3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3"/>
      <c r="U10" s="3"/>
      <c r="AU10" s="448"/>
    </row>
    <row r="11" spans="5:47" ht="12.7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AU11" s="448"/>
    </row>
    <row r="12" spans="5:47" ht="12.75">
      <c r="E12" s="3"/>
      <c r="F12" s="94" t="s">
        <v>359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AU12" s="448"/>
    </row>
    <row r="13" spans="5:47" ht="12.75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AU13" s="448"/>
    </row>
    <row r="14" spans="5:47" ht="12.75">
      <c r="E14" s="3"/>
      <c r="F14" s="5" t="s">
        <v>281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AU14" s="448"/>
    </row>
    <row r="15" spans="5:47" ht="12.7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9"/>
      <c r="U15" s="3"/>
      <c r="AU15" s="448"/>
    </row>
    <row r="16" spans="5:47" ht="12.75">
      <c r="E16" s="3"/>
      <c r="F16" s="27"/>
      <c r="G16" s="28" t="s">
        <v>291</v>
      </c>
      <c r="H16" s="29"/>
      <c r="I16" s="15"/>
      <c r="J16" s="16"/>
      <c r="K16" s="16"/>
      <c r="L16" s="33" t="s">
        <v>330</v>
      </c>
      <c r="M16" s="16"/>
      <c r="N16" s="16"/>
      <c r="O16" s="16"/>
      <c r="P16" s="16"/>
      <c r="Q16" s="16"/>
      <c r="R16" s="16"/>
      <c r="S16" s="16"/>
      <c r="T16" s="17"/>
      <c r="U16" s="3"/>
      <c r="AU16" s="448"/>
    </row>
    <row r="17" spans="5:47" ht="12.75">
      <c r="E17" s="3"/>
      <c r="F17" s="30"/>
      <c r="G17" s="31" t="s">
        <v>292</v>
      </c>
      <c r="H17" s="32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3"/>
      <c r="V17" s="3"/>
      <c r="W17" s="3"/>
      <c r="X17" s="3"/>
      <c r="Y17" s="3"/>
      <c r="Z17" s="3"/>
      <c r="AA17" s="10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U17" s="448"/>
    </row>
    <row r="18" spans="5:47" ht="12.75">
      <c r="E18" s="3"/>
      <c r="F18" s="12"/>
      <c r="G18" s="14"/>
      <c r="H18" s="9" t="s">
        <v>229</v>
      </c>
      <c r="I18" s="7">
        <v>10</v>
      </c>
      <c r="J18" s="7">
        <v>20</v>
      </c>
      <c r="K18" s="7">
        <v>30</v>
      </c>
      <c r="L18" s="7">
        <v>40</v>
      </c>
      <c r="M18" s="7">
        <v>50</v>
      </c>
      <c r="N18" s="7">
        <v>60</v>
      </c>
      <c r="O18" s="7">
        <v>70</v>
      </c>
      <c r="P18" s="7">
        <v>80</v>
      </c>
      <c r="Q18" s="7">
        <v>90</v>
      </c>
      <c r="R18" s="7">
        <v>100</v>
      </c>
      <c r="S18" s="12" t="s">
        <v>290</v>
      </c>
      <c r="T18" s="14"/>
      <c r="U18" s="3"/>
      <c r="V18" s="3"/>
      <c r="W18" s="3"/>
      <c r="X18" s="54">
        <v>10</v>
      </c>
      <c r="Y18" s="54">
        <v>20</v>
      </c>
      <c r="Z18" s="54">
        <v>30</v>
      </c>
      <c r="AA18" s="54">
        <v>40</v>
      </c>
      <c r="AB18" s="54">
        <v>50</v>
      </c>
      <c r="AC18" s="54">
        <v>60</v>
      </c>
      <c r="AD18" s="54">
        <v>70</v>
      </c>
      <c r="AE18" s="54">
        <v>80</v>
      </c>
      <c r="AF18" s="54">
        <v>90</v>
      </c>
      <c r="AG18" s="54">
        <v>100</v>
      </c>
      <c r="AH18" s="37"/>
      <c r="AI18" s="37"/>
      <c r="AJ18" s="37"/>
      <c r="AK18" s="3"/>
      <c r="AL18" s="3"/>
      <c r="AM18" s="3"/>
      <c r="AN18" s="3"/>
      <c r="AO18" s="3"/>
      <c r="AP18" s="3"/>
      <c r="AQ18" s="3"/>
      <c r="AU18" s="448"/>
    </row>
    <row r="19" spans="5:47" ht="12.75">
      <c r="E19" s="3"/>
      <c r="F19" s="12" t="s">
        <v>284</v>
      </c>
      <c r="G19" s="14"/>
      <c r="H19" s="53">
        <v>0.05</v>
      </c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137">
        <f>AJ19</f>
        <v>0</v>
      </c>
      <c r="T19" s="14" t="s">
        <v>229</v>
      </c>
      <c r="U19" s="3"/>
      <c r="V19" s="3"/>
      <c r="W19" s="49"/>
      <c r="X19" s="54">
        <f>IF(I$19&gt;0,I$18/100*0.05,"")</f>
      </c>
      <c r="Y19" s="54">
        <f aca="true" t="shared" si="0" ref="Y19:AG19">IF(J$19&gt;0,J$18/100*0.05,"")</f>
      </c>
      <c r="Z19" s="54">
        <f t="shared" si="0"/>
      </c>
      <c r="AA19" s="54">
        <f t="shared" si="0"/>
      </c>
      <c r="AB19" s="54">
        <f t="shared" si="0"/>
      </c>
      <c r="AC19" s="54">
        <f t="shared" si="0"/>
      </c>
      <c r="AD19" s="54">
        <f t="shared" si="0"/>
      </c>
      <c r="AE19" s="54">
        <f t="shared" si="0"/>
      </c>
      <c r="AF19" s="54">
        <f t="shared" si="0"/>
      </c>
      <c r="AG19" s="54">
        <f t="shared" si="0"/>
      </c>
      <c r="AH19" s="37"/>
      <c r="AI19" s="54">
        <f>H19</f>
        <v>0.05</v>
      </c>
      <c r="AJ19" s="54">
        <f>SUM(X19:AG19)</f>
        <v>0</v>
      </c>
      <c r="AK19" s="3"/>
      <c r="AL19" s="3"/>
      <c r="AM19" s="3"/>
      <c r="AN19" s="3"/>
      <c r="AO19" s="3"/>
      <c r="AP19" s="3"/>
      <c r="AQ19" s="3"/>
      <c r="AU19" s="448"/>
    </row>
    <row r="20" spans="5:47" ht="12.75">
      <c r="E20" s="3"/>
      <c r="F20" s="15" t="s">
        <v>282</v>
      </c>
      <c r="G20" s="17"/>
      <c r="H20" s="595">
        <v>0.2</v>
      </c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615">
        <f>AJ20</f>
        <v>0</v>
      </c>
      <c r="T20" s="469" t="s">
        <v>229</v>
      </c>
      <c r="U20" s="3"/>
      <c r="V20" s="3"/>
      <c r="W20" s="49"/>
      <c r="X20" s="586">
        <f>IF(I$20&gt;0,I$18/100*0.2,"")</f>
      </c>
      <c r="Y20" s="586">
        <f aca="true" t="shared" si="1" ref="Y20:AG20">IF(J$20&gt;0,J$18/100*0.2,"")</f>
      </c>
      <c r="Z20" s="586">
        <f t="shared" si="1"/>
      </c>
      <c r="AA20" s="586">
        <f t="shared" si="1"/>
      </c>
      <c r="AB20" s="586">
        <f t="shared" si="1"/>
      </c>
      <c r="AC20" s="586">
        <f t="shared" si="1"/>
      </c>
      <c r="AD20" s="586">
        <f t="shared" si="1"/>
      </c>
      <c r="AE20" s="586">
        <f t="shared" si="1"/>
      </c>
      <c r="AF20" s="586">
        <f t="shared" si="1"/>
      </c>
      <c r="AG20" s="586">
        <f t="shared" si="1"/>
      </c>
      <c r="AH20" s="37"/>
      <c r="AI20" s="525">
        <f>H20</f>
        <v>0.2</v>
      </c>
      <c r="AJ20" s="525">
        <f>SUM(X20:AG20)</f>
        <v>0</v>
      </c>
      <c r="AK20" s="3"/>
      <c r="AL20" s="3"/>
      <c r="AM20" s="3"/>
      <c r="AN20" s="3"/>
      <c r="AO20" s="3"/>
      <c r="AP20" s="3"/>
      <c r="AQ20" s="3"/>
      <c r="AU20" s="448"/>
    </row>
    <row r="21" spans="5:47" ht="12.75">
      <c r="E21" s="3"/>
      <c r="F21" s="21" t="s">
        <v>283</v>
      </c>
      <c r="G21" s="22"/>
      <c r="H21" s="596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616"/>
      <c r="T21" s="614"/>
      <c r="U21" s="3"/>
      <c r="V21" s="3"/>
      <c r="W21" s="49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37"/>
      <c r="AI21" s="525"/>
      <c r="AJ21" s="525"/>
      <c r="AK21" s="3"/>
      <c r="AL21" s="3"/>
      <c r="AM21" s="3"/>
      <c r="AN21" s="3"/>
      <c r="AO21" s="3"/>
      <c r="AP21" s="3"/>
      <c r="AQ21" s="3"/>
      <c r="AU21" s="448"/>
    </row>
    <row r="22" spans="5:47" ht="12.75">
      <c r="E22" s="3"/>
      <c r="F22" s="18" t="s">
        <v>94</v>
      </c>
      <c r="G22" s="20"/>
      <c r="H22" s="597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617"/>
      <c r="T22" s="472"/>
      <c r="U22" s="3"/>
      <c r="V22" s="3"/>
      <c r="W22" s="49"/>
      <c r="X22" s="588"/>
      <c r="Y22" s="588"/>
      <c r="Z22" s="588"/>
      <c r="AA22" s="588"/>
      <c r="AB22" s="588"/>
      <c r="AC22" s="588"/>
      <c r="AD22" s="588"/>
      <c r="AE22" s="588"/>
      <c r="AF22" s="588"/>
      <c r="AG22" s="588"/>
      <c r="AH22" s="37"/>
      <c r="AI22" s="525"/>
      <c r="AJ22" s="525"/>
      <c r="AK22" s="3"/>
      <c r="AL22" s="3"/>
      <c r="AM22" s="3"/>
      <c r="AN22" s="3"/>
      <c r="AO22" s="3"/>
      <c r="AP22" s="3"/>
      <c r="AQ22" s="3"/>
      <c r="AU22" s="448"/>
    </row>
    <row r="23" spans="5:47" ht="12.75">
      <c r="E23" s="3"/>
      <c r="F23" s="12" t="s">
        <v>285</v>
      </c>
      <c r="G23" s="13"/>
      <c r="H23" s="53">
        <v>0.1</v>
      </c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137">
        <f>AJ23</f>
        <v>0</v>
      </c>
      <c r="T23" s="14" t="s">
        <v>229</v>
      </c>
      <c r="U23" s="3"/>
      <c r="V23" s="3"/>
      <c r="W23" s="49"/>
      <c r="X23" s="54">
        <f>IF(I$23&gt;0,I$18/100*0.1,"")</f>
      </c>
      <c r="Y23" s="54">
        <f aca="true" t="shared" si="2" ref="Y23:AG23">IF(J$23&gt;0,J$18/100*0.1,"")</f>
      </c>
      <c r="Z23" s="54">
        <f t="shared" si="2"/>
      </c>
      <c r="AA23" s="54">
        <f t="shared" si="2"/>
      </c>
      <c r="AB23" s="54">
        <f t="shared" si="2"/>
      </c>
      <c r="AC23" s="54">
        <f t="shared" si="2"/>
      </c>
      <c r="AD23" s="54">
        <f t="shared" si="2"/>
      </c>
      <c r="AE23" s="54">
        <f t="shared" si="2"/>
      </c>
      <c r="AF23" s="54">
        <f t="shared" si="2"/>
      </c>
      <c r="AG23" s="54">
        <f t="shared" si="2"/>
      </c>
      <c r="AH23" s="37"/>
      <c r="AI23" s="54">
        <f>H23</f>
        <v>0.1</v>
      </c>
      <c r="AJ23" s="54">
        <f>SUM(X23:AG23)</f>
        <v>0</v>
      </c>
      <c r="AK23" s="3"/>
      <c r="AL23" s="3"/>
      <c r="AM23" s="3"/>
      <c r="AN23" s="3"/>
      <c r="AO23" s="3"/>
      <c r="AP23" s="3"/>
      <c r="AQ23" s="3"/>
      <c r="AU23" s="448"/>
    </row>
    <row r="24" spans="5:47" ht="12.75">
      <c r="E24" s="3"/>
      <c r="F24" s="12" t="s">
        <v>286</v>
      </c>
      <c r="G24" s="14"/>
      <c r="H24" s="53">
        <v>0.05</v>
      </c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137">
        <f>AJ24</f>
        <v>0</v>
      </c>
      <c r="T24" s="14" t="s">
        <v>229</v>
      </c>
      <c r="U24" s="3"/>
      <c r="V24" s="3"/>
      <c r="W24" s="49"/>
      <c r="X24" s="54">
        <f>IF(I$24&gt;0,I$18/100*0.05,"")</f>
      </c>
      <c r="Y24" s="54">
        <f aca="true" t="shared" si="3" ref="Y24:AG24">IF(J$24&gt;0,J$18/100*0.05,"")</f>
      </c>
      <c r="Z24" s="54">
        <f t="shared" si="3"/>
      </c>
      <c r="AA24" s="54">
        <f t="shared" si="3"/>
      </c>
      <c r="AB24" s="54">
        <f t="shared" si="3"/>
      </c>
      <c r="AC24" s="54">
        <f t="shared" si="3"/>
      </c>
      <c r="AD24" s="54">
        <f t="shared" si="3"/>
      </c>
      <c r="AE24" s="54">
        <f t="shared" si="3"/>
      </c>
      <c r="AF24" s="54">
        <f t="shared" si="3"/>
      </c>
      <c r="AG24" s="54">
        <f t="shared" si="3"/>
      </c>
      <c r="AH24" s="37"/>
      <c r="AI24" s="54">
        <f>H24</f>
        <v>0.05</v>
      </c>
      <c r="AJ24" s="54">
        <f>SUM(X24:AG24)</f>
        <v>0</v>
      </c>
      <c r="AK24" s="3"/>
      <c r="AL24" s="3"/>
      <c r="AM24" s="3"/>
      <c r="AN24" s="3"/>
      <c r="AO24" s="3"/>
      <c r="AP24" s="3"/>
      <c r="AQ24" s="3"/>
      <c r="AU24" s="448"/>
    </row>
    <row r="25" spans="5:47" ht="12.75">
      <c r="E25" s="3"/>
      <c r="F25" s="12" t="s">
        <v>287</v>
      </c>
      <c r="G25" s="14"/>
      <c r="H25" s="53">
        <v>0.1</v>
      </c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137">
        <f>AJ25</f>
        <v>0</v>
      </c>
      <c r="T25" s="14" t="s">
        <v>229</v>
      </c>
      <c r="U25" s="3"/>
      <c r="V25" s="3"/>
      <c r="W25" s="49"/>
      <c r="X25" s="54">
        <f>IF(I$25&gt;0,I$18/100*0.1,"")</f>
      </c>
      <c r="Y25" s="54">
        <f aca="true" t="shared" si="4" ref="Y25:AG25">IF(J$25&gt;0,J$18/100*0.1,"")</f>
      </c>
      <c r="Z25" s="54">
        <f t="shared" si="4"/>
      </c>
      <c r="AA25" s="54">
        <f t="shared" si="4"/>
      </c>
      <c r="AB25" s="54">
        <f t="shared" si="4"/>
      </c>
      <c r="AC25" s="54">
        <f t="shared" si="4"/>
      </c>
      <c r="AD25" s="54">
        <f t="shared" si="4"/>
      </c>
      <c r="AE25" s="54">
        <f t="shared" si="4"/>
      </c>
      <c r="AF25" s="54">
        <f t="shared" si="4"/>
      </c>
      <c r="AG25" s="54">
        <f t="shared" si="4"/>
      </c>
      <c r="AH25" s="37"/>
      <c r="AI25" s="54">
        <f>H25</f>
        <v>0.1</v>
      </c>
      <c r="AJ25" s="54">
        <f>SUM(X25:AG25)</f>
        <v>0</v>
      </c>
      <c r="AK25" s="3"/>
      <c r="AL25" s="3"/>
      <c r="AM25" s="3"/>
      <c r="AN25" s="3"/>
      <c r="AO25" s="3"/>
      <c r="AP25" s="3"/>
      <c r="AQ25" s="3"/>
      <c r="AU25" s="448"/>
    </row>
    <row r="26" spans="5:47" ht="12.75">
      <c r="E26" s="3"/>
      <c r="F26" s="34" t="s">
        <v>288</v>
      </c>
      <c r="G26" s="35"/>
      <c r="H26" s="35"/>
      <c r="I26" s="35"/>
      <c r="J26" s="35"/>
      <c r="K26" s="35"/>
      <c r="L26" s="35"/>
      <c r="M26" s="35"/>
      <c r="N26" s="35"/>
      <c r="O26" s="35"/>
      <c r="P26" s="35" t="s">
        <v>293</v>
      </c>
      <c r="Q26" s="35"/>
      <c r="R26" s="36"/>
      <c r="S26" s="137">
        <f>SUM(S19:S25)</f>
        <v>0</v>
      </c>
      <c r="T26" s="14" t="s">
        <v>229</v>
      </c>
      <c r="U26" s="3"/>
      <c r="V26" s="3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  <c r="AH26" s="49"/>
      <c r="AI26" s="49"/>
      <c r="AJ26" s="3"/>
      <c r="AK26" s="3"/>
      <c r="AL26" s="3"/>
      <c r="AM26" s="3"/>
      <c r="AN26" s="3"/>
      <c r="AO26" s="3"/>
      <c r="AP26" s="3"/>
      <c r="AQ26" s="3"/>
      <c r="AU26" s="448"/>
    </row>
    <row r="27" spans="5:47" ht="12.75">
      <c r="E27" s="3"/>
      <c r="F27" s="34" t="s">
        <v>289</v>
      </c>
      <c r="G27" s="35"/>
      <c r="H27" s="35"/>
      <c r="I27" s="35"/>
      <c r="J27" s="35"/>
      <c r="K27" s="35"/>
      <c r="L27" s="35"/>
      <c r="M27" s="35"/>
      <c r="N27" s="35"/>
      <c r="O27" s="35"/>
      <c r="P27" s="35" t="s">
        <v>294</v>
      </c>
      <c r="Q27" s="35"/>
      <c r="R27" s="36"/>
      <c r="S27" s="137">
        <f>S26</f>
        <v>0</v>
      </c>
      <c r="T27" s="14" t="s">
        <v>229</v>
      </c>
      <c r="U27" s="3"/>
      <c r="V27" s="3"/>
      <c r="W27" s="3"/>
      <c r="X27" s="3"/>
      <c r="Y27" s="3"/>
      <c r="Z27" s="3"/>
      <c r="AA27" s="10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U27" s="448"/>
    </row>
    <row r="28" spans="5:47" ht="12.75">
      <c r="E28" s="3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 t="s">
        <v>295</v>
      </c>
      <c r="Q28" s="35"/>
      <c r="R28" s="36"/>
      <c r="S28" s="137">
        <f>SUM(S26:S27)</f>
        <v>0</v>
      </c>
      <c r="T28" s="14" t="s">
        <v>229</v>
      </c>
      <c r="U28" s="3"/>
      <c r="V28" s="3"/>
      <c r="W28" s="3"/>
      <c r="X28" s="3"/>
      <c r="Y28" s="3"/>
      <c r="Z28" s="3"/>
      <c r="AA28" s="10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U28" s="448"/>
    </row>
    <row r="29" spans="5:47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16"/>
      <c r="P29" s="16"/>
      <c r="Q29" s="16"/>
      <c r="R29" s="16"/>
      <c r="S29" s="16"/>
      <c r="T29" s="16"/>
      <c r="U29" s="3"/>
      <c r="V29" s="3"/>
      <c r="W29" s="3"/>
      <c r="X29" s="3"/>
      <c r="Y29" s="3"/>
      <c r="Z29" s="3"/>
      <c r="AA29" s="10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U29" s="448"/>
    </row>
    <row r="30" spans="5:47" ht="12.75" hidden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0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U30" s="448"/>
    </row>
    <row r="31" spans="5:47" ht="12.75" hidden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AU31" s="448"/>
    </row>
    <row r="32" spans="5:47" ht="12.75">
      <c r="E32" s="3"/>
      <c r="F32" s="94" t="s">
        <v>360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AU32" s="448"/>
    </row>
    <row r="33" spans="5:47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AU33" s="448"/>
    </row>
    <row r="34" spans="5:47" ht="12.75">
      <c r="E34" s="3"/>
      <c r="F34" s="3"/>
      <c r="G34" s="3"/>
      <c r="H34" s="96" t="s">
        <v>261</v>
      </c>
      <c r="I34" s="610">
        <f>'Valore OMI_Usi'!S21</f>
        <v>0</v>
      </c>
      <c r="J34" s="611"/>
      <c r="K34" s="3" t="s">
        <v>259</v>
      </c>
      <c r="L34" s="9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AF34" s="81"/>
      <c r="AG34" s="82"/>
      <c r="AH34" s="83"/>
      <c r="AI34" s="84"/>
      <c r="AU34" s="448"/>
    </row>
    <row r="35" spans="5:47" ht="12.75">
      <c r="E35" s="3"/>
      <c r="F35" s="3"/>
      <c r="G35" s="3"/>
      <c r="H35" s="96"/>
      <c r="I35" s="51"/>
      <c r="J35" s="5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AF35" s="81"/>
      <c r="AG35" s="82"/>
      <c r="AH35" s="83"/>
      <c r="AI35" s="81"/>
      <c r="AU35" s="448"/>
    </row>
    <row r="36" spans="5:47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AF36" s="81"/>
      <c r="AG36" s="82"/>
      <c r="AH36" s="83"/>
      <c r="AI36" s="81"/>
      <c r="AU36" s="448"/>
    </row>
    <row r="37" spans="5:47" ht="12.75">
      <c r="E37" s="3"/>
      <c r="F37" s="98" t="s">
        <v>153</v>
      </c>
      <c r="G37" s="415"/>
      <c r="H37" s="3" t="s">
        <v>232</v>
      </c>
      <c r="I37" s="3"/>
      <c r="J37" s="98" t="s">
        <v>154</v>
      </c>
      <c r="K37" s="571"/>
      <c r="L37" s="571"/>
      <c r="M37" s="3" t="s">
        <v>232</v>
      </c>
      <c r="N37" s="3"/>
      <c r="O37" s="98" t="s">
        <v>155</v>
      </c>
      <c r="P37" s="572">
        <f>G37+(K37*0.6)</f>
        <v>0</v>
      </c>
      <c r="Q37" s="573"/>
      <c r="R37" s="3" t="s">
        <v>232</v>
      </c>
      <c r="S37" s="3"/>
      <c r="T37" s="3"/>
      <c r="U37" s="3"/>
      <c r="V37" s="3"/>
      <c r="W37" s="3"/>
      <c r="Y37" s="37"/>
      <c r="Z37" s="37"/>
      <c r="AA37" s="48"/>
      <c r="AB37" s="37"/>
      <c r="AE37" s="81"/>
      <c r="AF37" s="81"/>
      <c r="AG37" s="82"/>
      <c r="AH37" s="83"/>
      <c r="AI37" s="81"/>
      <c r="AJ37" s="81"/>
      <c r="AK37" s="81"/>
      <c r="AL37" s="81"/>
      <c r="AU37" s="448"/>
    </row>
    <row r="38" spans="5:47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37"/>
      <c r="Z38" s="37"/>
      <c r="AA38" s="48"/>
      <c r="AB38" s="37"/>
      <c r="AE38" s="81"/>
      <c r="AF38" s="81"/>
      <c r="AG38" s="82"/>
      <c r="AH38" s="83"/>
      <c r="AI38" s="81"/>
      <c r="AJ38" s="81"/>
      <c r="AK38" s="81"/>
      <c r="AL38" s="81"/>
      <c r="AU38" s="448"/>
    </row>
    <row r="39" spans="5:47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37"/>
      <c r="Z39" s="37"/>
      <c r="AA39" s="48"/>
      <c r="AB39" s="37"/>
      <c r="AE39" s="81"/>
      <c r="AF39" s="85"/>
      <c r="AG39" s="86"/>
      <c r="AH39" s="87"/>
      <c r="AI39" s="88"/>
      <c r="AJ39" s="85"/>
      <c r="AK39" s="85"/>
      <c r="AL39" s="85"/>
      <c r="AM39" s="80"/>
      <c r="AN39" s="80"/>
      <c r="AO39" s="80"/>
      <c r="AP39" s="80"/>
      <c r="AQ39" s="80"/>
      <c r="AU39" s="448"/>
    </row>
    <row r="40" spans="1:47" ht="12.75">
      <c r="A40" s="3"/>
      <c r="B40" s="10"/>
      <c r="C40" s="3"/>
      <c r="E40" s="3"/>
      <c r="F40" s="94" t="s">
        <v>296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7"/>
      <c r="Z40" s="37"/>
      <c r="AA40" s="48"/>
      <c r="AB40" s="37"/>
      <c r="AE40" s="81"/>
      <c r="AF40" s="85"/>
      <c r="AG40" s="86"/>
      <c r="AH40" s="87"/>
      <c r="AI40" s="85"/>
      <c r="AJ40" s="85"/>
      <c r="AK40" s="85"/>
      <c r="AL40" s="85"/>
      <c r="AM40" s="80"/>
      <c r="AN40" s="80"/>
      <c r="AO40" s="80"/>
      <c r="AP40" s="80"/>
      <c r="AQ40" s="80"/>
      <c r="AU40" s="448"/>
    </row>
    <row r="41" spans="1:47" ht="13.5" thickBot="1">
      <c r="A41" s="3"/>
      <c r="B41" s="10"/>
      <c r="C41" s="3"/>
      <c r="E41" s="3"/>
      <c r="F41" s="72" t="str">
        <f>IF(Z48=0,"Spuntare una delle percentuali","")</f>
        <v>Spuntare una delle percentuali</v>
      </c>
      <c r="G41" s="3"/>
      <c r="H41" s="3"/>
      <c r="I41" s="3"/>
      <c r="K41" s="117">
        <f>IF(Z48&gt;1,"Errore , spuntare solo una delle tre possibilità","")</f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7"/>
      <c r="Z41" s="37"/>
      <c r="AA41" s="48"/>
      <c r="AB41" s="37"/>
      <c r="AE41" s="81"/>
      <c r="AF41" s="85"/>
      <c r="AG41" s="86"/>
      <c r="AH41" s="87"/>
      <c r="AI41" s="85"/>
      <c r="AJ41" s="85"/>
      <c r="AK41" s="85"/>
      <c r="AL41" s="85"/>
      <c r="AM41" s="80"/>
      <c r="AN41" s="80"/>
      <c r="AO41" s="80"/>
      <c r="AP41" s="80"/>
      <c r="AQ41" s="80"/>
      <c r="AU41" s="448"/>
    </row>
    <row r="42" spans="1:47" ht="13.5" thickBot="1">
      <c r="A42" s="3"/>
      <c r="B42" s="49"/>
      <c r="C42" s="3"/>
      <c r="E42" s="294"/>
      <c r="F42" s="120" t="s">
        <v>54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7"/>
      <c r="Z42" s="54">
        <f>IF(E42&gt;0,1,"")</f>
      </c>
      <c r="AA42" s="54">
        <f>IF(E42&gt;0,10%,"")</f>
      </c>
      <c r="AB42" s="54">
        <f>SUM(AA42:AA46)</f>
        <v>0</v>
      </c>
      <c r="AE42" s="81"/>
      <c r="AF42" s="85"/>
      <c r="AG42" s="86"/>
      <c r="AH42" s="87"/>
      <c r="AI42" s="85"/>
      <c r="AJ42" s="85"/>
      <c r="AK42" s="85"/>
      <c r="AL42" s="85"/>
      <c r="AM42" s="80"/>
      <c r="AN42" s="80"/>
      <c r="AO42" s="80"/>
      <c r="AP42" s="80"/>
      <c r="AQ42" s="80"/>
      <c r="AU42" s="448"/>
    </row>
    <row r="43" spans="1:47" ht="13.5" thickBot="1">
      <c r="A43" s="3"/>
      <c r="B43" s="49"/>
      <c r="C43" s="3"/>
      <c r="E43" s="12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7"/>
      <c r="Z43" s="54"/>
      <c r="AA43" s="54"/>
      <c r="AB43" s="48"/>
      <c r="AE43" s="81"/>
      <c r="AF43" s="85"/>
      <c r="AG43" s="86"/>
      <c r="AH43" s="87"/>
      <c r="AI43" s="85"/>
      <c r="AJ43" s="85"/>
      <c r="AK43" s="85"/>
      <c r="AL43" s="85"/>
      <c r="AM43" s="80"/>
      <c r="AN43" s="80"/>
      <c r="AO43" s="80"/>
      <c r="AP43" s="80"/>
      <c r="AQ43" s="80"/>
      <c r="AU43" s="448"/>
    </row>
    <row r="44" spans="1:47" ht="13.5" thickBot="1">
      <c r="A44" s="3"/>
      <c r="B44" s="49"/>
      <c r="C44" s="3"/>
      <c r="E44" s="294"/>
      <c r="F44" s="120" t="s">
        <v>55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7"/>
      <c r="Z44" s="54">
        <f>IF(E44&gt;0,1,"")</f>
      </c>
      <c r="AA44" s="54">
        <f>IF(E44&gt;0,10%,"")</f>
      </c>
      <c r="AB44" s="48"/>
      <c r="AE44" s="81"/>
      <c r="AF44" s="85"/>
      <c r="AG44" s="86"/>
      <c r="AH44" s="87"/>
      <c r="AI44" s="85"/>
      <c r="AJ44" s="85"/>
      <c r="AK44" s="85"/>
      <c r="AL44" s="85"/>
      <c r="AM44" s="80"/>
      <c r="AN44" s="80"/>
      <c r="AO44" s="80"/>
      <c r="AP44" s="80"/>
      <c r="AQ44" s="80"/>
      <c r="AU44" s="448"/>
    </row>
    <row r="45" spans="1:47" ht="13.5" thickBot="1">
      <c r="A45" s="3"/>
      <c r="B45" s="49"/>
      <c r="C45" s="3"/>
      <c r="E45" s="8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7"/>
      <c r="Z45" s="54"/>
      <c r="AA45" s="54"/>
      <c r="AB45" s="48"/>
      <c r="AE45" s="81"/>
      <c r="AF45" s="85"/>
      <c r="AG45" s="86"/>
      <c r="AH45" s="87"/>
      <c r="AI45" s="85"/>
      <c r="AJ45" s="85"/>
      <c r="AK45" s="85"/>
      <c r="AL45" s="85"/>
      <c r="AM45" s="80"/>
      <c r="AN45" s="80"/>
      <c r="AO45" s="80"/>
      <c r="AP45" s="80"/>
      <c r="AQ45" s="80"/>
      <c r="AU45" s="448"/>
    </row>
    <row r="46" spans="1:47" ht="13.5" thickBot="1">
      <c r="A46" s="3"/>
      <c r="B46" s="49"/>
      <c r="C46" s="3"/>
      <c r="E46" s="294"/>
      <c r="F46" s="120" t="s">
        <v>56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7"/>
      <c r="Z46" s="54">
        <f>IF(E46&gt;0,1,"")</f>
      </c>
      <c r="AA46" s="54">
        <f>IF(E46&gt;0,7%,"")</f>
      </c>
      <c r="AB46" s="48"/>
      <c r="AE46" s="81"/>
      <c r="AF46" s="85"/>
      <c r="AG46" s="86"/>
      <c r="AH46" s="87"/>
      <c r="AI46" s="85"/>
      <c r="AJ46" s="85"/>
      <c r="AK46" s="85"/>
      <c r="AL46" s="85"/>
      <c r="AM46" s="80"/>
      <c r="AN46" s="80"/>
      <c r="AO46" s="80"/>
      <c r="AP46" s="80"/>
      <c r="AQ46" s="80"/>
      <c r="AU46" s="448"/>
    </row>
    <row r="47" spans="1:47" ht="12.75">
      <c r="A47" s="3"/>
      <c r="B47" s="49"/>
      <c r="C47" s="3"/>
      <c r="E47" s="3"/>
      <c r="F47" s="3"/>
      <c r="G47" s="3"/>
      <c r="H47" s="3"/>
      <c r="I47" s="3"/>
      <c r="J47" s="3"/>
      <c r="K47" s="3"/>
      <c r="L47" s="3"/>
      <c r="M47" s="3"/>
      <c r="N47" s="147"/>
      <c r="O47" s="3"/>
      <c r="P47" s="3"/>
      <c r="Q47" s="3"/>
      <c r="R47" s="3"/>
      <c r="S47" s="3"/>
      <c r="T47" s="3"/>
      <c r="U47" s="3"/>
      <c r="V47" s="3"/>
      <c r="W47" s="3"/>
      <c r="X47" s="3"/>
      <c r="Y47" s="37"/>
      <c r="Z47" s="160"/>
      <c r="AA47" s="160"/>
      <c r="AB47" s="48"/>
      <c r="AE47" s="81"/>
      <c r="AF47" s="85"/>
      <c r="AG47" s="86"/>
      <c r="AH47" s="87"/>
      <c r="AI47" s="85"/>
      <c r="AJ47" s="85"/>
      <c r="AK47" s="85"/>
      <c r="AL47" s="85"/>
      <c r="AM47" s="80"/>
      <c r="AN47" s="80"/>
      <c r="AO47" s="80"/>
      <c r="AP47" s="80"/>
      <c r="AQ47" s="80"/>
      <c r="AU47" s="448"/>
    </row>
    <row r="48" spans="1:47" ht="13.5" customHeight="1">
      <c r="A48" s="3"/>
      <c r="B48" s="10"/>
      <c r="C48" s="3"/>
      <c r="E48" s="3"/>
      <c r="F48" s="3"/>
      <c r="G48" s="98" t="s">
        <v>152</v>
      </c>
      <c r="H48" s="127">
        <f>I34</f>
        <v>0</v>
      </c>
      <c r="I48" s="602">
        <f>P37</f>
        <v>0</v>
      </c>
      <c r="J48" s="603"/>
      <c r="K48" s="604">
        <f>S28</f>
        <v>0</v>
      </c>
      <c r="L48" s="604"/>
      <c r="M48" s="603">
        <f>W50</f>
        <v>0.5</v>
      </c>
      <c r="N48" s="603"/>
      <c r="O48" s="604">
        <f>AB42</f>
        <v>0</v>
      </c>
      <c r="P48" s="604"/>
      <c r="Q48" s="299"/>
      <c r="R48" s="6" t="s">
        <v>156</v>
      </c>
      <c r="S48" s="612">
        <f>H48*I48*K48*M48*O48</f>
        <v>0</v>
      </c>
      <c r="T48" s="613"/>
      <c r="U48" s="78"/>
      <c r="V48" s="78"/>
      <c r="W48" s="54">
        <f>S48</f>
        <v>0</v>
      </c>
      <c r="X48" s="79"/>
      <c r="Y48" s="37"/>
      <c r="Z48" s="54">
        <f>SUM(Z42:Z46)</f>
        <v>0</v>
      </c>
      <c r="AA48" s="182">
        <f>P48</f>
        <v>0</v>
      </c>
      <c r="AB48" s="48"/>
      <c r="AC48" s="153"/>
      <c r="AE48" s="81"/>
      <c r="AF48" s="85"/>
      <c r="AG48" s="86"/>
      <c r="AH48" s="87"/>
      <c r="AI48" s="85"/>
      <c r="AJ48" s="85"/>
      <c r="AK48" s="85"/>
      <c r="AL48" s="85"/>
      <c r="AM48" s="80"/>
      <c r="AN48" s="80"/>
      <c r="AO48" s="80"/>
      <c r="AP48" s="80"/>
      <c r="AQ48" s="80"/>
      <c r="AU48" s="448"/>
    </row>
    <row r="49" spans="5:47" ht="12.75">
      <c r="E49" s="3"/>
      <c r="F49" s="3"/>
      <c r="G49" s="99" t="s">
        <v>152</v>
      </c>
      <c r="H49" s="90" t="s">
        <v>99</v>
      </c>
      <c r="I49" s="473" t="s">
        <v>189</v>
      </c>
      <c r="J49" s="473"/>
      <c r="K49" s="473" t="s">
        <v>100</v>
      </c>
      <c r="L49" s="473"/>
      <c r="M49" s="473" t="s">
        <v>473</v>
      </c>
      <c r="N49" s="473"/>
      <c r="O49" s="473" t="s">
        <v>471</v>
      </c>
      <c r="P49" s="473"/>
      <c r="Q49" s="118"/>
      <c r="R49" s="10" t="s">
        <v>156</v>
      </c>
      <c r="S49" s="544" t="s">
        <v>157</v>
      </c>
      <c r="T49" s="544"/>
      <c r="U49" s="3"/>
      <c r="V49" s="3"/>
      <c r="W49" s="3"/>
      <c r="X49" s="3"/>
      <c r="Y49" s="37"/>
      <c r="Z49" s="37"/>
      <c r="AA49" s="48"/>
      <c r="AB49" s="37"/>
      <c r="AE49" s="81"/>
      <c r="AF49" s="85"/>
      <c r="AG49" s="86"/>
      <c r="AH49" s="87"/>
      <c r="AI49" s="85"/>
      <c r="AJ49" s="85"/>
      <c r="AK49" s="85"/>
      <c r="AL49" s="85"/>
      <c r="AM49" s="80"/>
      <c r="AN49" s="80"/>
      <c r="AO49" s="80"/>
      <c r="AP49" s="80"/>
      <c r="AQ49" s="80"/>
      <c r="AU49" s="448"/>
    </row>
    <row r="50" spans="5:47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54">
        <f>IF(E57&gt;0,0.5,1)</f>
        <v>0.5</v>
      </c>
      <c r="Y50" s="37"/>
      <c r="Z50" s="50"/>
      <c r="AA50" s="49"/>
      <c r="AB50" s="50"/>
      <c r="AC50" s="3"/>
      <c r="AE50" s="81"/>
      <c r="AF50" s="85"/>
      <c r="AG50" s="86"/>
      <c r="AH50" s="87"/>
      <c r="AI50" s="85"/>
      <c r="AJ50" s="85"/>
      <c r="AK50" s="85"/>
      <c r="AL50" s="85"/>
      <c r="AM50" s="80"/>
      <c r="AN50" s="80"/>
      <c r="AO50" s="80"/>
      <c r="AP50" s="80"/>
      <c r="AQ50" s="80"/>
      <c r="AU50" s="448"/>
    </row>
    <row r="51" spans="5:47" ht="12.75">
      <c r="E51" s="3"/>
      <c r="F51" s="67" t="s">
        <v>263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3"/>
      <c r="U51" s="3"/>
      <c r="Y51" s="37"/>
      <c r="Z51" s="50"/>
      <c r="AA51" s="49"/>
      <c r="AB51" s="50"/>
      <c r="AC51" s="3"/>
      <c r="AE51" s="81"/>
      <c r="AF51" s="81"/>
      <c r="AG51" s="82"/>
      <c r="AH51" s="83"/>
      <c r="AI51" s="84"/>
      <c r="AJ51" s="81"/>
      <c r="AK51" s="81"/>
      <c r="AL51" s="81"/>
      <c r="AU51" s="448"/>
    </row>
    <row r="52" spans="5:47" ht="12.75">
      <c r="E52" s="3"/>
      <c r="F52" s="67"/>
      <c r="G52" s="69" t="s">
        <v>186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3"/>
      <c r="U52" s="3"/>
      <c r="Y52" s="37"/>
      <c r="Z52" s="50"/>
      <c r="AA52" s="49"/>
      <c r="AB52" s="50"/>
      <c r="AC52" s="3"/>
      <c r="AE52" s="81"/>
      <c r="AF52" s="81"/>
      <c r="AG52" s="82"/>
      <c r="AH52" s="83"/>
      <c r="AI52" s="81"/>
      <c r="AJ52" s="81"/>
      <c r="AK52" s="81"/>
      <c r="AL52" s="81"/>
      <c r="AU52" s="448"/>
    </row>
    <row r="53" spans="5:47" ht="12.75">
      <c r="E53" s="3"/>
      <c r="F53" s="67"/>
      <c r="G53" s="69" t="s">
        <v>183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3"/>
      <c r="U53" s="3"/>
      <c r="Y53" s="37"/>
      <c r="Z53" s="50"/>
      <c r="AA53" s="49"/>
      <c r="AB53" s="50"/>
      <c r="AC53" s="3"/>
      <c r="AE53" s="81"/>
      <c r="AF53" s="81"/>
      <c r="AG53" s="82"/>
      <c r="AH53" s="83"/>
      <c r="AI53" s="81"/>
      <c r="AJ53" s="81"/>
      <c r="AK53" s="81"/>
      <c r="AL53" s="81"/>
      <c r="AU53" s="448"/>
    </row>
    <row r="54" spans="5:47" ht="12.75">
      <c r="E54" s="3"/>
      <c r="F54" s="67"/>
      <c r="G54" s="69" t="s">
        <v>187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3"/>
      <c r="U54" s="3"/>
      <c r="Y54" s="37"/>
      <c r="Z54" s="37"/>
      <c r="AA54" s="48"/>
      <c r="AB54" s="37"/>
      <c r="AE54" s="81"/>
      <c r="AF54" s="81"/>
      <c r="AG54" s="82"/>
      <c r="AH54" s="83"/>
      <c r="AI54" s="81"/>
      <c r="AJ54" s="81"/>
      <c r="AK54" s="81"/>
      <c r="AL54" s="81"/>
      <c r="AU54" s="448"/>
    </row>
    <row r="55" spans="5:47" ht="12.75" hidden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Y55" s="80"/>
      <c r="Z55" s="59"/>
      <c r="AA55" s="59"/>
      <c r="AB55" s="80"/>
      <c r="AE55" s="81"/>
      <c r="AF55" s="81"/>
      <c r="AG55" s="82"/>
      <c r="AH55" s="83"/>
      <c r="AI55" s="81"/>
      <c r="AJ55" s="81"/>
      <c r="AK55" s="81"/>
      <c r="AL55" s="81"/>
      <c r="AU55" s="448"/>
    </row>
    <row r="56" spans="5:47" ht="13.5" thickBot="1">
      <c r="E56" s="3"/>
      <c r="F56" s="3"/>
      <c r="G56" s="119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3"/>
      <c r="AE56" s="81"/>
      <c r="AF56" s="81"/>
      <c r="AG56" s="82"/>
      <c r="AH56" s="83"/>
      <c r="AI56" s="81"/>
      <c r="AJ56" s="81"/>
      <c r="AK56" s="81"/>
      <c r="AL56" s="81"/>
      <c r="AU56" s="448"/>
    </row>
    <row r="57" spans="5:47" ht="13.5" thickBot="1">
      <c r="E57" s="112" t="s">
        <v>340</v>
      </c>
      <c r="F57" s="500" t="s">
        <v>357</v>
      </c>
      <c r="G57" s="500"/>
      <c r="H57" s="500"/>
      <c r="I57" s="500"/>
      <c r="J57" s="500"/>
      <c r="K57" s="500"/>
      <c r="L57" s="500"/>
      <c r="M57" s="500"/>
      <c r="N57" s="500"/>
      <c r="O57" s="500"/>
      <c r="P57" s="3"/>
      <c r="Q57" s="3"/>
      <c r="R57" s="3"/>
      <c r="S57" s="3"/>
      <c r="T57" s="3"/>
      <c r="U57" s="3"/>
      <c r="AE57" s="81"/>
      <c r="AF57" s="81"/>
      <c r="AG57" s="82"/>
      <c r="AH57" s="83"/>
      <c r="AI57" s="81"/>
      <c r="AJ57" s="81"/>
      <c r="AK57" s="81"/>
      <c r="AL57" s="81"/>
      <c r="AU57" s="448"/>
    </row>
    <row r="58" spans="5:47" ht="4.5" customHeight="1">
      <c r="E58" s="3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3"/>
      <c r="Q58" s="3"/>
      <c r="R58" s="3"/>
      <c r="S58" s="3"/>
      <c r="T58" s="3"/>
      <c r="U58" s="3"/>
      <c r="AE58" s="81"/>
      <c r="AF58" s="81"/>
      <c r="AG58" s="82"/>
      <c r="AH58" s="83"/>
      <c r="AI58" s="81"/>
      <c r="AJ58" s="81"/>
      <c r="AK58" s="81"/>
      <c r="AL58" s="81"/>
      <c r="AU58" s="448"/>
    </row>
    <row r="59" spans="5:47" ht="6" customHeight="1">
      <c r="E59" s="3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82"/>
      <c r="Q59" s="3"/>
      <c r="R59" s="3"/>
      <c r="S59" s="3"/>
      <c r="T59" s="3"/>
      <c r="U59" s="3"/>
      <c r="W59" s="49"/>
      <c r="AE59" s="81"/>
      <c r="AF59" s="81"/>
      <c r="AG59" s="82"/>
      <c r="AH59" s="83"/>
      <c r="AI59" s="81"/>
      <c r="AJ59" s="81"/>
      <c r="AK59" s="81"/>
      <c r="AL59" s="81"/>
      <c r="AU59" s="448"/>
    </row>
    <row r="60" spans="5:47" ht="12.75">
      <c r="E60" s="3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120"/>
      <c r="Q60" s="3"/>
      <c r="R60" s="3"/>
      <c r="S60" s="3"/>
      <c r="T60" s="3"/>
      <c r="U60" s="3"/>
      <c r="AE60" s="81"/>
      <c r="AF60" s="81"/>
      <c r="AG60" s="82"/>
      <c r="AH60" s="83"/>
      <c r="AI60" s="81"/>
      <c r="AJ60" s="81"/>
      <c r="AK60" s="81"/>
      <c r="AL60" s="81"/>
      <c r="AU60" s="448"/>
    </row>
    <row r="61" spans="3:47" ht="12.75" hidden="1">
      <c r="C61" s="3"/>
      <c r="D61" s="3"/>
      <c r="E61" s="3"/>
      <c r="F61" s="12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E61" s="81"/>
      <c r="AF61" s="81"/>
      <c r="AG61" s="82"/>
      <c r="AH61" s="83"/>
      <c r="AI61" s="81"/>
      <c r="AJ61" s="81"/>
      <c r="AK61" s="81"/>
      <c r="AL61" s="81"/>
      <c r="AU61" s="448"/>
    </row>
    <row r="62" spans="3:47" ht="12.75" hidden="1">
      <c r="C62" s="3"/>
      <c r="D62" s="3"/>
      <c r="E62" s="3"/>
      <c r="F62" s="120"/>
      <c r="G62" s="3"/>
      <c r="H62" s="3"/>
      <c r="I62" s="3"/>
      <c r="J62" s="1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64"/>
      <c r="AE62" s="81"/>
      <c r="AF62" s="81"/>
      <c r="AG62" s="82"/>
      <c r="AH62" s="83"/>
      <c r="AI62" s="81"/>
      <c r="AJ62" s="81"/>
      <c r="AK62" s="81"/>
      <c r="AL62" s="81"/>
      <c r="AU62" s="448"/>
    </row>
    <row r="63" spans="3:47" ht="13.5" thickBot="1">
      <c r="C63" s="3"/>
      <c r="D63" s="3"/>
      <c r="E63" s="3"/>
      <c r="F63" s="3"/>
      <c r="G63" s="3"/>
      <c r="H63" s="3"/>
      <c r="I63" s="3"/>
      <c r="J63" s="10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E63" s="81"/>
      <c r="AF63" s="81"/>
      <c r="AG63" s="82"/>
      <c r="AH63" s="83"/>
      <c r="AI63" s="81"/>
      <c r="AJ63" s="81"/>
      <c r="AK63" s="81"/>
      <c r="AL63" s="81"/>
      <c r="AU63" s="448"/>
    </row>
    <row r="64" spans="3:47" ht="13.5" thickBot="1">
      <c r="C64" s="3"/>
      <c r="D64" s="3"/>
      <c r="E64" s="294"/>
      <c r="F64" s="500" t="s">
        <v>53</v>
      </c>
      <c r="G64" s="500"/>
      <c r="H64" s="500"/>
      <c r="I64" s="500"/>
      <c r="J64" s="500"/>
      <c r="K64" s="500"/>
      <c r="L64" s="500"/>
      <c r="M64" s="500"/>
      <c r="N64" s="500"/>
      <c r="O64" s="3"/>
      <c r="P64" s="3"/>
      <c r="Q64" s="575">
        <v>35</v>
      </c>
      <c r="R64" s="576"/>
      <c r="S64" s="3"/>
      <c r="T64" s="3"/>
      <c r="U64" s="3"/>
      <c r="V64" s="3"/>
      <c r="W64" s="3"/>
      <c r="AE64" s="81"/>
      <c r="AF64" s="81"/>
      <c r="AG64" s="82"/>
      <c r="AH64" s="83"/>
      <c r="AI64" s="81"/>
      <c r="AJ64" s="81"/>
      <c r="AK64" s="81"/>
      <c r="AL64" s="81"/>
      <c r="AU64" s="448"/>
    </row>
    <row r="65" spans="3:47" ht="12.75">
      <c r="C65" s="3"/>
      <c r="D65" s="3"/>
      <c r="E65" s="3"/>
      <c r="F65" s="500"/>
      <c r="G65" s="500"/>
      <c r="H65" s="500"/>
      <c r="I65" s="500"/>
      <c r="J65" s="500"/>
      <c r="K65" s="500"/>
      <c r="L65" s="500"/>
      <c r="M65" s="500"/>
      <c r="N65" s="500"/>
      <c r="O65" s="3"/>
      <c r="P65" s="3"/>
      <c r="Q65" s="577"/>
      <c r="R65" s="578"/>
      <c r="S65" s="3" t="s">
        <v>49</v>
      </c>
      <c r="T65" s="3"/>
      <c r="U65" s="3"/>
      <c r="V65" s="3"/>
      <c r="W65" s="3"/>
      <c r="AE65" s="81"/>
      <c r="AF65" s="81"/>
      <c r="AG65" s="82"/>
      <c r="AH65" s="83"/>
      <c r="AI65" s="81"/>
      <c r="AJ65" s="81"/>
      <c r="AK65" s="81"/>
      <c r="AL65" s="81"/>
      <c r="AU65" s="448"/>
    </row>
    <row r="66" spans="3:47" ht="12.75">
      <c r="C66" s="3"/>
      <c r="D66" s="3"/>
      <c r="E66" s="3"/>
      <c r="F66" s="500"/>
      <c r="G66" s="500"/>
      <c r="H66" s="500"/>
      <c r="I66" s="500"/>
      <c r="J66" s="500"/>
      <c r="K66" s="500"/>
      <c r="L66" s="500"/>
      <c r="M66" s="500"/>
      <c r="N66" s="500"/>
      <c r="O66" s="3"/>
      <c r="P66" s="3"/>
      <c r="Q66" s="579"/>
      <c r="R66" s="580"/>
      <c r="S66" s="3"/>
      <c r="T66" s="3"/>
      <c r="U66" s="3"/>
      <c r="V66" s="3"/>
      <c r="W66" s="3"/>
      <c r="AE66" s="81"/>
      <c r="AF66" s="81"/>
      <c r="AG66" s="82"/>
      <c r="AH66" s="83"/>
      <c r="AI66" s="81"/>
      <c r="AJ66" s="81"/>
      <c r="AK66" s="81"/>
      <c r="AL66" s="81"/>
      <c r="AU66" s="448"/>
    </row>
    <row r="67" spans="3:47" ht="12.75">
      <c r="C67" s="3"/>
      <c r="D67" s="3"/>
      <c r="E67" s="3"/>
      <c r="F67" s="500"/>
      <c r="G67" s="500"/>
      <c r="H67" s="500"/>
      <c r="I67" s="500"/>
      <c r="J67" s="500"/>
      <c r="K67" s="500"/>
      <c r="L67" s="500"/>
      <c r="M67" s="500"/>
      <c r="N67" s="500"/>
      <c r="O67" s="3"/>
      <c r="P67" s="3"/>
      <c r="Q67" s="3"/>
      <c r="R67" s="3"/>
      <c r="S67" s="3"/>
      <c r="T67" s="3"/>
      <c r="U67" s="3"/>
      <c r="V67" s="3"/>
      <c r="W67" s="3"/>
      <c r="AC67" s="542" t="s">
        <v>104</v>
      </c>
      <c r="AD67" s="542"/>
      <c r="AE67" s="81"/>
      <c r="AF67" s="81"/>
      <c r="AG67" s="82"/>
      <c r="AH67" s="83"/>
      <c r="AI67" s="81"/>
      <c r="AJ67" s="81"/>
      <c r="AK67" s="81"/>
      <c r="AL67" s="81"/>
      <c r="AU67" s="448"/>
    </row>
    <row r="68" spans="3:47" ht="12.75" hidden="1">
      <c r="C68" s="3"/>
      <c r="D68" s="3"/>
      <c r="E68" s="3"/>
      <c r="F68" s="3"/>
      <c r="G68" s="3"/>
      <c r="H68" s="3"/>
      <c r="I68" s="3"/>
      <c r="J68" s="10"/>
      <c r="K68" s="3"/>
      <c r="L68" s="3"/>
      <c r="M68" s="3"/>
      <c r="N68" s="3"/>
      <c r="O68" s="3"/>
      <c r="R68" s="3"/>
      <c r="U68" s="3"/>
      <c r="V68" s="3"/>
      <c r="W68" s="54">
        <f>IF(E64&gt;0,S48*Q64/100,"")</f>
      </c>
      <c r="AC68" s="541">
        <f>W68</f>
      </c>
      <c r="AD68" s="465"/>
      <c r="AE68" s="81"/>
      <c r="AF68" s="81"/>
      <c r="AG68" s="82"/>
      <c r="AH68" s="83"/>
      <c r="AI68" s="81"/>
      <c r="AJ68" s="81"/>
      <c r="AK68" s="81"/>
      <c r="AL68" s="81"/>
      <c r="AU68" s="448"/>
    </row>
    <row r="69" spans="3:47" ht="12.75" hidden="1">
      <c r="C69" s="3"/>
      <c r="D69" s="3"/>
      <c r="E69" s="3"/>
      <c r="F69" s="3"/>
      <c r="G69" s="3"/>
      <c r="H69" s="3"/>
      <c r="I69" s="3"/>
      <c r="J69" s="1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E69" s="81"/>
      <c r="AF69" s="81"/>
      <c r="AG69" s="82"/>
      <c r="AH69" s="83"/>
      <c r="AI69" s="81"/>
      <c r="AJ69" s="81"/>
      <c r="AK69" s="81"/>
      <c r="AL69" s="81"/>
      <c r="AU69" s="448"/>
    </row>
    <row r="70" spans="3:47" ht="12.75">
      <c r="C70" s="3"/>
      <c r="D70" s="3"/>
      <c r="E70" s="3"/>
      <c r="F70" s="3"/>
      <c r="G70" s="3"/>
      <c r="H70" s="3"/>
      <c r="I70" s="3"/>
      <c r="J70" s="1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E70" s="81"/>
      <c r="AF70" s="81"/>
      <c r="AG70" s="82"/>
      <c r="AH70" s="83"/>
      <c r="AI70" s="81"/>
      <c r="AJ70" s="81"/>
      <c r="AK70" s="81"/>
      <c r="AL70" s="81"/>
      <c r="AU70" s="448"/>
    </row>
    <row r="71" spans="3:47" ht="12.75">
      <c r="C71" s="3"/>
      <c r="D71" s="3"/>
      <c r="E71" s="3"/>
      <c r="F71" s="67" t="s">
        <v>484</v>
      </c>
      <c r="G71" s="3"/>
      <c r="H71" s="3"/>
      <c r="I71" s="3"/>
      <c r="J71" s="10"/>
      <c r="K71" s="3"/>
      <c r="L71" s="3"/>
      <c r="M71" s="3"/>
      <c r="N71" s="3"/>
      <c r="O71" s="3"/>
      <c r="P71" s="542" t="s">
        <v>103</v>
      </c>
      <c r="Q71" s="542"/>
      <c r="R71" s="3"/>
      <c r="S71" s="541">
        <f>W71</f>
        <v>0</v>
      </c>
      <c r="T71" s="465"/>
      <c r="U71" s="3"/>
      <c r="V71" s="3"/>
      <c r="W71" s="136">
        <f>IF(E64&gt;0,W48*0.65,W48)</f>
        <v>0</v>
      </c>
      <c r="AE71" s="81"/>
      <c r="AF71" s="81"/>
      <c r="AG71" s="82"/>
      <c r="AH71" s="83"/>
      <c r="AI71" s="81"/>
      <c r="AJ71" s="81"/>
      <c r="AK71" s="81"/>
      <c r="AL71" s="81"/>
      <c r="AU71" s="448"/>
    </row>
    <row r="72" spans="3:47" ht="12.75">
      <c r="C72" s="3"/>
      <c r="D72" s="3"/>
      <c r="E72" s="3"/>
      <c r="F72" s="3"/>
      <c r="G72" s="3"/>
      <c r="H72" s="3"/>
      <c r="I72" s="3"/>
      <c r="J72" s="10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E72" s="81"/>
      <c r="AF72" s="85"/>
      <c r="AG72" s="86"/>
      <c r="AH72" s="87"/>
      <c r="AI72" s="88"/>
      <c r="AJ72" s="85"/>
      <c r="AK72" s="85"/>
      <c r="AL72" s="85"/>
      <c r="AM72" s="80"/>
      <c r="AN72" s="80"/>
      <c r="AO72" s="80"/>
      <c r="AP72" s="80"/>
      <c r="AQ72" s="80"/>
      <c r="AU72" s="448"/>
    </row>
    <row r="73" spans="3:43" ht="12.75">
      <c r="C73" s="3"/>
      <c r="D73" s="3"/>
      <c r="E73" s="3"/>
      <c r="F73" s="3"/>
      <c r="G73" s="3"/>
      <c r="H73" s="3"/>
      <c r="I73" s="3"/>
      <c r="J73" s="1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E73" s="81"/>
      <c r="AF73" s="85"/>
      <c r="AG73" s="86"/>
      <c r="AH73" s="87"/>
      <c r="AI73" s="85"/>
      <c r="AJ73" s="85"/>
      <c r="AK73" s="85"/>
      <c r="AL73" s="85"/>
      <c r="AM73" s="80"/>
      <c r="AN73" s="80"/>
      <c r="AO73" s="80"/>
      <c r="AP73" s="80"/>
      <c r="AQ73" s="80"/>
    </row>
    <row r="74" spans="3:43" ht="12.75">
      <c r="C74" s="3"/>
      <c r="D74" s="3"/>
      <c r="E74" s="3"/>
      <c r="F74" s="3"/>
      <c r="G74" s="3"/>
      <c r="H74" s="3"/>
      <c r="I74" s="3"/>
      <c r="J74" s="1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E74" s="81"/>
      <c r="AF74" s="85"/>
      <c r="AG74" s="86"/>
      <c r="AH74" s="87"/>
      <c r="AI74" s="85"/>
      <c r="AJ74" s="85"/>
      <c r="AK74" s="85"/>
      <c r="AL74" s="85"/>
      <c r="AM74" s="80"/>
      <c r="AN74" s="80"/>
      <c r="AO74" s="80"/>
      <c r="AP74" s="80"/>
      <c r="AQ74" s="80"/>
    </row>
    <row r="75" spans="3:43" ht="12.75">
      <c r="C75" s="3"/>
      <c r="D75" s="3"/>
      <c r="E75" s="3"/>
      <c r="F75" s="3"/>
      <c r="G75" s="3"/>
      <c r="H75" s="3"/>
      <c r="I75" s="3"/>
      <c r="J75" s="1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E75" s="81"/>
      <c r="AF75" s="85"/>
      <c r="AG75" s="86"/>
      <c r="AH75" s="87"/>
      <c r="AI75" s="85"/>
      <c r="AJ75" s="85"/>
      <c r="AK75" s="85"/>
      <c r="AL75" s="85"/>
      <c r="AM75" s="80"/>
      <c r="AN75" s="80"/>
      <c r="AO75" s="80"/>
      <c r="AP75" s="80"/>
      <c r="AQ75" s="80"/>
    </row>
    <row r="76" spans="3:43" ht="12.75">
      <c r="C76" s="3"/>
      <c r="D76" s="3"/>
      <c r="E76" s="3"/>
      <c r="F76" s="3"/>
      <c r="G76" s="3"/>
      <c r="H76" s="3"/>
      <c r="I76" s="3"/>
      <c r="J76" s="1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E76" s="81"/>
      <c r="AF76" s="85"/>
      <c r="AG76" s="86"/>
      <c r="AH76" s="87"/>
      <c r="AI76" s="85"/>
      <c r="AJ76" s="85"/>
      <c r="AK76" s="85"/>
      <c r="AL76" s="85"/>
      <c r="AM76" s="80"/>
      <c r="AN76" s="80"/>
      <c r="AO76" s="80"/>
      <c r="AP76" s="80"/>
      <c r="AQ76" s="80"/>
    </row>
    <row r="77" spans="3:43" ht="12.75">
      <c r="C77" s="3"/>
      <c r="D77" s="3"/>
      <c r="E77" s="3"/>
      <c r="F77" s="3"/>
      <c r="G77" s="3"/>
      <c r="H77" s="3"/>
      <c r="I77" s="3"/>
      <c r="J77" s="1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E77" s="81"/>
      <c r="AF77" s="85"/>
      <c r="AG77" s="86"/>
      <c r="AH77" s="87"/>
      <c r="AI77" s="85"/>
      <c r="AJ77" s="85"/>
      <c r="AK77" s="85"/>
      <c r="AL77" s="85"/>
      <c r="AM77" s="80"/>
      <c r="AN77" s="80"/>
      <c r="AO77" s="80"/>
      <c r="AP77" s="80"/>
      <c r="AQ77" s="80"/>
    </row>
    <row r="78" spans="3:43" ht="12.75">
      <c r="C78" s="3"/>
      <c r="D78" s="3"/>
      <c r="E78" s="3"/>
      <c r="F78" s="149"/>
      <c r="G78" s="3"/>
      <c r="H78" s="3"/>
      <c r="I78" s="3"/>
      <c r="J78" s="1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E78" s="81"/>
      <c r="AF78" s="85"/>
      <c r="AG78" s="86"/>
      <c r="AH78" s="87"/>
      <c r="AI78" s="85"/>
      <c r="AJ78" s="85"/>
      <c r="AK78" s="85"/>
      <c r="AL78" s="85"/>
      <c r="AM78" s="80"/>
      <c r="AN78" s="80"/>
      <c r="AO78" s="80"/>
      <c r="AP78" s="80"/>
      <c r="AQ78" s="80"/>
    </row>
    <row r="79" spans="3:43" ht="12.75">
      <c r="C79" s="3"/>
      <c r="D79" s="3"/>
      <c r="E79" s="3"/>
      <c r="F79" s="3"/>
      <c r="G79" s="3"/>
      <c r="H79" s="3"/>
      <c r="I79" s="3"/>
      <c r="J79" s="1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E79" s="81"/>
      <c r="AF79" s="85"/>
      <c r="AG79" s="86"/>
      <c r="AH79" s="87"/>
      <c r="AI79" s="85"/>
      <c r="AJ79" s="85"/>
      <c r="AK79" s="85"/>
      <c r="AL79" s="85"/>
      <c r="AM79" s="80"/>
      <c r="AN79" s="80"/>
      <c r="AO79" s="80"/>
      <c r="AP79" s="80"/>
      <c r="AQ79" s="80"/>
    </row>
    <row r="80" spans="3:43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E80" s="81"/>
      <c r="AF80" s="85"/>
      <c r="AG80" s="86"/>
      <c r="AH80" s="87"/>
      <c r="AI80" s="85"/>
      <c r="AJ80" s="85"/>
      <c r="AK80" s="85"/>
      <c r="AL80" s="85"/>
      <c r="AM80" s="80"/>
      <c r="AN80" s="80"/>
      <c r="AO80" s="80"/>
      <c r="AP80" s="80"/>
      <c r="AQ80" s="80"/>
    </row>
    <row r="81" spans="3:43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E81" s="81"/>
      <c r="AF81" s="85"/>
      <c r="AG81" s="86"/>
      <c r="AH81" s="87"/>
      <c r="AI81" s="85"/>
      <c r="AJ81" s="85"/>
      <c r="AK81" s="85"/>
      <c r="AL81" s="85"/>
      <c r="AM81" s="80"/>
      <c r="AN81" s="80"/>
      <c r="AO81" s="80"/>
      <c r="AP81" s="80"/>
      <c r="AQ81" s="80"/>
    </row>
    <row r="82" spans="3:43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E82" s="81"/>
      <c r="AF82" s="85"/>
      <c r="AG82" s="86"/>
      <c r="AH82" s="87"/>
      <c r="AI82" s="85"/>
      <c r="AJ82" s="85"/>
      <c r="AK82" s="85"/>
      <c r="AL82" s="85"/>
      <c r="AM82" s="80"/>
      <c r="AN82" s="80"/>
      <c r="AO82" s="80"/>
      <c r="AP82" s="80"/>
      <c r="AQ82" s="80"/>
    </row>
    <row r="83" spans="3:38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E83" s="81"/>
      <c r="AF83" s="81"/>
      <c r="AG83" s="82"/>
      <c r="AH83" s="83"/>
      <c r="AI83" s="81"/>
      <c r="AJ83" s="81"/>
      <c r="AK83" s="81"/>
      <c r="AL83" s="81"/>
    </row>
    <row r="84" spans="31:38" ht="12.75">
      <c r="AE84" s="81"/>
      <c r="AF84" s="81"/>
      <c r="AG84" s="82"/>
      <c r="AH84" s="83"/>
      <c r="AI84" s="81"/>
      <c r="AJ84" s="81"/>
      <c r="AK84" s="81"/>
      <c r="AL84" s="81"/>
    </row>
    <row r="85" spans="31:38" ht="12.75">
      <c r="AE85" s="81"/>
      <c r="AF85" s="81"/>
      <c r="AG85" s="82"/>
      <c r="AH85" s="83"/>
      <c r="AI85" s="81"/>
      <c r="AJ85" s="81"/>
      <c r="AK85" s="81"/>
      <c r="AL85" s="81"/>
    </row>
    <row r="86" spans="31:38" ht="12.75">
      <c r="AE86" s="81"/>
      <c r="AF86" s="81"/>
      <c r="AG86" s="82"/>
      <c r="AH86" s="83"/>
      <c r="AI86" s="81"/>
      <c r="AJ86" s="81"/>
      <c r="AK86" s="81"/>
      <c r="AL86" s="81"/>
    </row>
    <row r="87" spans="31:38" ht="12.75">
      <c r="AE87" s="81"/>
      <c r="AF87" s="81"/>
      <c r="AG87" s="82"/>
      <c r="AH87" s="83"/>
      <c r="AI87" s="81"/>
      <c r="AJ87" s="81"/>
      <c r="AK87" s="81"/>
      <c r="AL87" s="81"/>
    </row>
    <row r="88" spans="31:38" ht="12.75">
      <c r="AE88" s="81"/>
      <c r="AF88" s="81"/>
      <c r="AG88" s="82"/>
      <c r="AH88" s="83"/>
      <c r="AI88" s="81"/>
      <c r="AJ88" s="81"/>
      <c r="AK88" s="81"/>
      <c r="AL88" s="81"/>
    </row>
    <row r="89" spans="31:38" ht="12.75">
      <c r="AE89" s="81"/>
      <c r="AF89" s="81"/>
      <c r="AG89" s="82"/>
      <c r="AH89" s="83"/>
      <c r="AI89" s="81"/>
      <c r="AJ89" s="81"/>
      <c r="AK89" s="81"/>
      <c r="AL89" s="81"/>
    </row>
    <row r="90" spans="31:38" ht="12.75">
      <c r="AE90" s="81"/>
      <c r="AF90" s="81"/>
      <c r="AG90" s="82"/>
      <c r="AH90" s="83"/>
      <c r="AI90" s="81"/>
      <c r="AJ90" s="81"/>
      <c r="AK90" s="81"/>
      <c r="AL90" s="81"/>
    </row>
    <row r="91" spans="31:38" ht="12.75">
      <c r="AE91" s="81"/>
      <c r="AF91" s="81"/>
      <c r="AG91" s="82"/>
      <c r="AH91" s="83"/>
      <c r="AI91" s="81"/>
      <c r="AJ91" s="81"/>
      <c r="AK91" s="81"/>
      <c r="AL91" s="81"/>
    </row>
    <row r="92" spans="31:38" ht="12.75">
      <c r="AE92" s="81"/>
      <c r="AF92" s="81"/>
      <c r="AG92" s="82"/>
      <c r="AH92" s="83"/>
      <c r="AI92" s="81"/>
      <c r="AJ92" s="81"/>
      <c r="AK92" s="81"/>
      <c r="AL92" s="81"/>
    </row>
    <row r="93" spans="31:38" ht="12.75">
      <c r="AE93" s="81"/>
      <c r="AF93" s="81"/>
      <c r="AG93" s="82"/>
      <c r="AH93" s="83"/>
      <c r="AI93" s="81"/>
      <c r="AJ93" s="81"/>
      <c r="AK93" s="81"/>
      <c r="AL93" s="81"/>
    </row>
    <row r="94" spans="31:38" ht="12.75">
      <c r="AE94" s="81"/>
      <c r="AF94" s="81"/>
      <c r="AG94" s="82"/>
      <c r="AH94" s="83"/>
      <c r="AI94" s="81"/>
      <c r="AJ94" s="81"/>
      <c r="AK94" s="81"/>
      <c r="AL94" s="81"/>
    </row>
    <row r="95" spans="31:38" ht="12.75">
      <c r="AE95" s="81"/>
      <c r="AF95" s="81"/>
      <c r="AG95" s="82"/>
      <c r="AH95" s="83"/>
      <c r="AI95" s="81"/>
      <c r="AJ95" s="81"/>
      <c r="AK95" s="81"/>
      <c r="AL95" s="81"/>
    </row>
    <row r="96" spans="31:43" ht="12.75">
      <c r="AE96" s="81"/>
      <c r="AF96" s="85"/>
      <c r="AG96" s="86"/>
      <c r="AH96" s="87"/>
      <c r="AI96" s="88"/>
      <c r="AJ96" s="85"/>
      <c r="AK96" s="85"/>
      <c r="AL96" s="85"/>
      <c r="AM96" s="80"/>
      <c r="AN96" s="80"/>
      <c r="AO96" s="80"/>
      <c r="AP96" s="80"/>
      <c r="AQ96" s="80"/>
    </row>
    <row r="97" spans="31:43" ht="12.75">
      <c r="AE97" s="81"/>
      <c r="AF97" s="85"/>
      <c r="AG97" s="86"/>
      <c r="AH97" s="87"/>
      <c r="AI97" s="85"/>
      <c r="AJ97" s="85"/>
      <c r="AK97" s="85"/>
      <c r="AL97" s="85"/>
      <c r="AM97" s="80"/>
      <c r="AN97" s="80"/>
      <c r="AO97" s="80"/>
      <c r="AP97" s="80"/>
      <c r="AQ97" s="80"/>
    </row>
    <row r="98" spans="31:43" ht="12.75">
      <c r="AE98" s="81"/>
      <c r="AF98" s="85"/>
      <c r="AG98" s="86"/>
      <c r="AH98" s="87"/>
      <c r="AI98" s="85"/>
      <c r="AJ98" s="85"/>
      <c r="AK98" s="85"/>
      <c r="AL98" s="85"/>
      <c r="AM98" s="80"/>
      <c r="AN98" s="80"/>
      <c r="AO98" s="80"/>
      <c r="AP98" s="80"/>
      <c r="AQ98" s="80"/>
    </row>
    <row r="99" spans="31:43" ht="12.75">
      <c r="AE99" s="81"/>
      <c r="AF99" s="85"/>
      <c r="AG99" s="86"/>
      <c r="AH99" s="87"/>
      <c r="AI99" s="85"/>
      <c r="AJ99" s="85"/>
      <c r="AK99" s="85"/>
      <c r="AL99" s="85"/>
      <c r="AM99" s="80"/>
      <c r="AN99" s="80"/>
      <c r="AO99" s="80"/>
      <c r="AP99" s="80"/>
      <c r="AQ99" s="80"/>
    </row>
    <row r="100" spans="31:43" ht="12.75">
      <c r="AE100" s="81"/>
      <c r="AF100" s="85"/>
      <c r="AG100" s="86"/>
      <c r="AH100" s="87"/>
      <c r="AI100" s="85"/>
      <c r="AJ100" s="85"/>
      <c r="AK100" s="85"/>
      <c r="AL100" s="85"/>
      <c r="AM100" s="80"/>
      <c r="AN100" s="80"/>
      <c r="AO100" s="80"/>
      <c r="AP100" s="80"/>
      <c r="AQ100" s="80"/>
    </row>
    <row r="101" spans="31:43" ht="12.75">
      <c r="AE101" s="81"/>
      <c r="AF101" s="85"/>
      <c r="AG101" s="86"/>
      <c r="AH101" s="87"/>
      <c r="AI101" s="85"/>
      <c r="AJ101" s="85"/>
      <c r="AK101" s="85"/>
      <c r="AL101" s="85"/>
      <c r="AM101" s="80"/>
      <c r="AN101" s="80"/>
      <c r="AO101" s="80"/>
      <c r="AP101" s="80"/>
      <c r="AQ101" s="80"/>
    </row>
    <row r="102" spans="31:43" ht="12.75">
      <c r="AE102" s="81"/>
      <c r="AF102" s="85"/>
      <c r="AG102" s="86"/>
      <c r="AH102" s="87"/>
      <c r="AI102" s="85"/>
      <c r="AJ102" s="85"/>
      <c r="AK102" s="85"/>
      <c r="AL102" s="85"/>
      <c r="AM102" s="80"/>
      <c r="AN102" s="80"/>
      <c r="AO102" s="80"/>
      <c r="AP102" s="80"/>
      <c r="AQ102" s="80"/>
    </row>
    <row r="103" spans="31:43" ht="12.75">
      <c r="AE103" s="81"/>
      <c r="AF103" s="85"/>
      <c r="AG103" s="86"/>
      <c r="AH103" s="87"/>
      <c r="AI103" s="85"/>
      <c r="AJ103" s="85"/>
      <c r="AK103" s="85"/>
      <c r="AL103" s="85"/>
      <c r="AM103" s="80"/>
      <c r="AN103" s="80"/>
      <c r="AO103" s="80"/>
      <c r="AP103" s="80"/>
      <c r="AQ103" s="80"/>
    </row>
    <row r="104" spans="31:43" ht="12.75">
      <c r="AE104" s="81"/>
      <c r="AF104" s="85"/>
      <c r="AG104" s="86"/>
      <c r="AH104" s="87"/>
      <c r="AI104" s="85"/>
      <c r="AJ104" s="85"/>
      <c r="AK104" s="85"/>
      <c r="AL104" s="85"/>
      <c r="AM104" s="80"/>
      <c r="AN104" s="80"/>
      <c r="AO104" s="80"/>
      <c r="AP104" s="80"/>
      <c r="AQ104" s="80"/>
    </row>
    <row r="105" spans="31:43" ht="12.75">
      <c r="AE105" s="81"/>
      <c r="AF105" s="85"/>
      <c r="AG105" s="86"/>
      <c r="AH105" s="87"/>
      <c r="AI105" s="85"/>
      <c r="AJ105" s="85"/>
      <c r="AK105" s="85"/>
      <c r="AL105" s="85"/>
      <c r="AM105" s="80"/>
      <c r="AN105" s="80"/>
      <c r="AO105" s="80"/>
      <c r="AP105" s="80"/>
      <c r="AQ105" s="80"/>
    </row>
    <row r="106" spans="31:43" ht="12.75">
      <c r="AE106" s="81"/>
      <c r="AF106" s="85"/>
      <c r="AG106" s="86"/>
      <c r="AH106" s="87"/>
      <c r="AI106" s="85"/>
      <c r="AJ106" s="85"/>
      <c r="AK106" s="85"/>
      <c r="AL106" s="85"/>
      <c r="AM106" s="80"/>
      <c r="AN106" s="80"/>
      <c r="AO106" s="80"/>
      <c r="AP106" s="80"/>
      <c r="AQ106" s="80"/>
    </row>
    <row r="107" spans="31:43" ht="12.75">
      <c r="AE107" s="81"/>
      <c r="AF107" s="85"/>
      <c r="AG107" s="86"/>
      <c r="AH107" s="87"/>
      <c r="AI107" s="85"/>
      <c r="AJ107" s="85"/>
      <c r="AK107" s="85"/>
      <c r="AL107" s="85"/>
      <c r="AM107" s="80"/>
      <c r="AN107" s="80"/>
      <c r="AO107" s="80"/>
      <c r="AP107" s="80"/>
      <c r="AQ107" s="80"/>
    </row>
    <row r="108" spans="31:43" ht="12.75">
      <c r="AE108" s="81"/>
      <c r="AF108" s="85"/>
      <c r="AG108" s="86"/>
      <c r="AH108" s="87"/>
      <c r="AI108" s="85"/>
      <c r="AJ108" s="85"/>
      <c r="AK108" s="85"/>
      <c r="AL108" s="85"/>
      <c r="AM108" s="80"/>
      <c r="AN108" s="80"/>
      <c r="AO108" s="80"/>
      <c r="AP108" s="80"/>
      <c r="AQ108" s="80"/>
    </row>
    <row r="109" spans="31:43" ht="12.75">
      <c r="AE109" s="81"/>
      <c r="AF109" s="85"/>
      <c r="AG109" s="86"/>
      <c r="AH109" s="87"/>
      <c r="AI109" s="85"/>
      <c r="AJ109" s="85"/>
      <c r="AK109" s="85"/>
      <c r="AL109" s="85"/>
      <c r="AM109" s="80"/>
      <c r="AN109" s="80"/>
      <c r="AO109" s="80"/>
      <c r="AP109" s="80"/>
      <c r="AQ109" s="80"/>
    </row>
    <row r="110" spans="31:43" ht="12.75">
      <c r="AE110" s="81"/>
      <c r="AF110" s="85"/>
      <c r="AG110" s="86"/>
      <c r="AH110" s="87"/>
      <c r="AI110" s="85"/>
      <c r="AJ110" s="85"/>
      <c r="AK110" s="85"/>
      <c r="AL110" s="85"/>
      <c r="AM110" s="80"/>
      <c r="AN110" s="80"/>
      <c r="AO110" s="80"/>
      <c r="AP110" s="80"/>
      <c r="AQ110" s="80"/>
    </row>
    <row r="111" spans="31:43" ht="12.75">
      <c r="AE111" s="81"/>
      <c r="AF111" s="85"/>
      <c r="AG111" s="86"/>
      <c r="AH111" s="87"/>
      <c r="AI111" s="85"/>
      <c r="AJ111" s="85"/>
      <c r="AK111" s="85"/>
      <c r="AL111" s="85"/>
      <c r="AM111" s="80"/>
      <c r="AN111" s="80"/>
      <c r="AO111" s="80"/>
      <c r="AP111" s="80"/>
      <c r="AQ111" s="80"/>
    </row>
    <row r="112" spans="31:43" ht="12.75">
      <c r="AE112" s="81"/>
      <c r="AF112" s="85"/>
      <c r="AG112" s="86"/>
      <c r="AH112" s="87"/>
      <c r="AI112" s="85"/>
      <c r="AJ112" s="85"/>
      <c r="AK112" s="85"/>
      <c r="AL112" s="85"/>
      <c r="AM112" s="80"/>
      <c r="AN112" s="80"/>
      <c r="AO112" s="80"/>
      <c r="AP112" s="80"/>
      <c r="AQ112" s="80"/>
    </row>
    <row r="113" spans="31:43" ht="12.75">
      <c r="AE113" s="81"/>
      <c r="AF113" s="85"/>
      <c r="AG113" s="86"/>
      <c r="AH113" s="87"/>
      <c r="AI113" s="85"/>
      <c r="AJ113" s="85"/>
      <c r="AK113" s="85"/>
      <c r="AL113" s="85"/>
      <c r="AM113" s="80"/>
      <c r="AN113" s="80"/>
      <c r="AO113" s="80"/>
      <c r="AP113" s="80"/>
      <c r="AQ113" s="80"/>
    </row>
    <row r="114" spans="31:43" ht="12.75">
      <c r="AE114" s="81"/>
      <c r="AF114" s="85"/>
      <c r="AG114" s="86"/>
      <c r="AH114" s="87"/>
      <c r="AI114" s="85"/>
      <c r="AJ114" s="85"/>
      <c r="AK114" s="85"/>
      <c r="AL114" s="85"/>
      <c r="AM114" s="80"/>
      <c r="AN114" s="80"/>
      <c r="AO114" s="80"/>
      <c r="AP114" s="80"/>
      <c r="AQ114" s="80"/>
    </row>
    <row r="115" spans="31:38" ht="12.75">
      <c r="AE115" s="81"/>
      <c r="AF115" s="81"/>
      <c r="AG115" s="82"/>
      <c r="AH115" s="83"/>
      <c r="AI115" s="81"/>
      <c r="AJ115" s="81"/>
      <c r="AK115" s="81"/>
      <c r="AL115" s="81"/>
    </row>
    <row r="116" spans="31:38" ht="12.75">
      <c r="AE116" s="81"/>
      <c r="AF116" s="81"/>
      <c r="AG116" s="82"/>
      <c r="AH116" s="83" t="s">
        <v>47</v>
      </c>
      <c r="AI116" s="81" t="s">
        <v>46</v>
      </c>
      <c r="AJ116" s="81"/>
      <c r="AK116" s="81"/>
      <c r="AL116" s="81"/>
    </row>
    <row r="117" spans="31:38" ht="12.75">
      <c r="AE117" s="81"/>
      <c r="AF117" s="81"/>
      <c r="AG117" s="82"/>
      <c r="AH117" s="83"/>
      <c r="AI117" s="81"/>
      <c r="AJ117" s="81"/>
      <c r="AK117" s="81"/>
      <c r="AL117" s="81"/>
    </row>
    <row r="118" spans="31:38" ht="12.75">
      <c r="AE118" s="81"/>
      <c r="AF118" s="81"/>
      <c r="AG118" s="82"/>
      <c r="AH118" s="83"/>
      <c r="AI118" s="81"/>
      <c r="AJ118" s="81"/>
      <c r="AK118" s="81"/>
      <c r="AL118" s="81"/>
    </row>
    <row r="119" spans="31:38" ht="12.75">
      <c r="AE119" s="81"/>
      <c r="AF119" s="81"/>
      <c r="AG119" s="82"/>
      <c r="AH119" s="83" t="s">
        <v>58</v>
      </c>
      <c r="AI119" s="81" t="s">
        <v>57</v>
      </c>
      <c r="AJ119" s="81"/>
      <c r="AK119" s="81"/>
      <c r="AL119" s="81"/>
    </row>
    <row r="120" spans="31:38" ht="12.75">
      <c r="AE120" s="81"/>
      <c r="AF120" s="81"/>
      <c r="AG120" s="82"/>
      <c r="AH120" s="83"/>
      <c r="AI120" s="81" t="s">
        <v>19</v>
      </c>
      <c r="AJ120" s="81"/>
      <c r="AK120" s="81"/>
      <c r="AL120" s="81"/>
    </row>
    <row r="121" spans="31:38" ht="12.75">
      <c r="AE121" s="81"/>
      <c r="AF121" s="81"/>
      <c r="AG121" s="82"/>
      <c r="AH121" s="83"/>
      <c r="AI121" s="81"/>
      <c r="AJ121" s="81"/>
      <c r="AK121" s="81"/>
      <c r="AL121" s="81"/>
    </row>
    <row r="122" spans="31:38" ht="12.75">
      <c r="AE122" s="81"/>
      <c r="AF122" s="81"/>
      <c r="AG122" s="82"/>
      <c r="AH122" s="83"/>
      <c r="AI122" s="84" t="s">
        <v>20</v>
      </c>
      <c r="AJ122" s="81"/>
      <c r="AK122" s="81"/>
      <c r="AL122" s="81"/>
    </row>
    <row r="123" spans="31:38" ht="12.75">
      <c r="AE123" s="81"/>
      <c r="AF123" s="81"/>
      <c r="AG123" s="82"/>
      <c r="AH123" s="83" t="s">
        <v>60</v>
      </c>
      <c r="AI123" s="81" t="s">
        <v>59</v>
      </c>
      <c r="AJ123" s="81"/>
      <c r="AK123" s="81"/>
      <c r="AL123" s="81"/>
    </row>
    <row r="124" spans="31:38" ht="12.75">
      <c r="AE124" s="81"/>
      <c r="AF124" s="81"/>
      <c r="AG124" s="82"/>
      <c r="AH124" s="83"/>
      <c r="AI124" s="81" t="s">
        <v>21</v>
      </c>
      <c r="AJ124" s="81"/>
      <c r="AK124" s="81"/>
      <c r="AL124" s="81"/>
    </row>
    <row r="125" spans="31:38" ht="12.75">
      <c r="AE125" s="81"/>
      <c r="AF125" s="81"/>
      <c r="AG125" s="82"/>
      <c r="AH125" s="83"/>
      <c r="AI125" s="81" t="s">
        <v>22</v>
      </c>
      <c r="AJ125" s="81"/>
      <c r="AK125" s="81"/>
      <c r="AL125" s="81"/>
    </row>
    <row r="126" spans="31:38" ht="12.75">
      <c r="AE126" s="81"/>
      <c r="AF126" s="81"/>
      <c r="AG126" s="81"/>
      <c r="AH126" s="81"/>
      <c r="AI126" s="81"/>
      <c r="AJ126" s="81"/>
      <c r="AK126" s="81"/>
      <c r="AL126" s="81"/>
    </row>
    <row r="127" spans="31:38" ht="12.75">
      <c r="AE127" s="81"/>
      <c r="AF127" s="81"/>
      <c r="AG127" s="81"/>
      <c r="AH127" s="81"/>
      <c r="AI127" s="81"/>
      <c r="AJ127" s="81"/>
      <c r="AK127" s="81"/>
      <c r="AL127" s="81"/>
    </row>
    <row r="128" spans="31:38" ht="12.75">
      <c r="AE128" s="81"/>
      <c r="AF128" s="81"/>
      <c r="AG128" s="81"/>
      <c r="AH128" s="81"/>
      <c r="AI128" s="81"/>
      <c r="AJ128" s="81"/>
      <c r="AK128" s="81"/>
      <c r="AL128" s="81"/>
    </row>
    <row r="129" spans="31:38" ht="12.75">
      <c r="AE129" s="81"/>
      <c r="AF129" s="81"/>
      <c r="AG129" s="81"/>
      <c r="AH129" s="81"/>
      <c r="AI129" s="81"/>
      <c r="AJ129" s="81"/>
      <c r="AK129" s="81"/>
      <c r="AL129" s="81"/>
    </row>
  </sheetData>
  <sheetProtection password="8090" sheet="1" objects="1" scenarios="1"/>
  <mergeCells count="48">
    <mergeCell ref="P71:Q71"/>
    <mergeCell ref="AC68:AD68"/>
    <mergeCell ref="S71:T71"/>
    <mergeCell ref="P20:P22"/>
    <mergeCell ref="Q20:Q22"/>
    <mergeCell ref="O48:P48"/>
    <mergeCell ref="O49:P49"/>
    <mergeCell ref="Z20:Z22"/>
    <mergeCell ref="AA20:AA22"/>
    <mergeCell ref="S49:T49"/>
    <mergeCell ref="F64:N67"/>
    <mergeCell ref="F57:O60"/>
    <mergeCell ref="AC67:AD67"/>
    <mergeCell ref="Q64:R66"/>
    <mergeCell ref="X20:X22"/>
    <mergeCell ref="T20:T22"/>
    <mergeCell ref="S20:S22"/>
    <mergeCell ref="R20:R22"/>
    <mergeCell ref="S48:T48"/>
    <mergeCell ref="Y20:Y22"/>
    <mergeCell ref="AB20:AB22"/>
    <mergeCell ref="I49:J49"/>
    <mergeCell ref="M49:N49"/>
    <mergeCell ref="M48:N48"/>
    <mergeCell ref="K48:L48"/>
    <mergeCell ref="K49:L49"/>
    <mergeCell ref="I48:J48"/>
    <mergeCell ref="K37:L37"/>
    <mergeCell ref="P37:Q37"/>
    <mergeCell ref="I34:J34"/>
    <mergeCell ref="N20:N22"/>
    <mergeCell ref="O20:O22"/>
    <mergeCell ref="L20:L22"/>
    <mergeCell ref="M20:M22"/>
    <mergeCell ref="H20:H22"/>
    <mergeCell ref="I20:I22"/>
    <mergeCell ref="J20:J22"/>
    <mergeCell ref="K20:K22"/>
    <mergeCell ref="F9:S10"/>
    <mergeCell ref="F3:G3"/>
    <mergeCell ref="F5:S7"/>
    <mergeCell ref="AJ20:AJ22"/>
    <mergeCell ref="AC20:AC22"/>
    <mergeCell ref="AD20:AD22"/>
    <mergeCell ref="AE20:AE22"/>
    <mergeCell ref="AF20:AF22"/>
    <mergeCell ref="AG20:AG22"/>
    <mergeCell ref="AI20:AI22"/>
  </mergeCells>
  <printOptions horizontalCentered="1"/>
  <pageMargins left="0.1968503937007874" right="0.2362204724409449" top="0.3937007874015748" bottom="0.1968503937007874" header="0.1968503937007874" footer="0.1968503937007874"/>
  <pageSetup horizontalDpi="600" verticalDpi="600" orientation="portrait" paperSize="9" scale="98" r:id="rId1"/>
  <headerFooter alignWithMargins="0">
    <oddFooter>&amp;C&amp;8foglio "QCC_Scheda D"&amp;R&amp;9pag.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M81"/>
  <sheetViews>
    <sheetView workbookViewId="0" topLeftCell="C1">
      <selection activeCell="M13" sqref="M13"/>
    </sheetView>
  </sheetViews>
  <sheetFormatPr defaultColWidth="9.140625" defaultRowHeight="12.75"/>
  <cols>
    <col min="1" max="1" width="3.57421875" style="6" hidden="1" customWidth="1"/>
    <col min="2" max="2" width="4.140625" style="6" hidden="1" customWidth="1"/>
    <col min="4" max="4" width="4.28125" style="0" customWidth="1"/>
    <col min="5" max="5" width="3.140625" style="0" customWidth="1"/>
    <col min="6" max="6" width="11.28125" style="0" customWidth="1"/>
    <col min="7" max="7" width="9.7109375" style="6" bestFit="1" customWidth="1"/>
    <col min="8" max="8" width="9.7109375" style="0" bestFit="1" customWidth="1"/>
    <col min="9" max="9" width="3.421875" style="0" customWidth="1"/>
    <col min="10" max="10" width="11.140625" style="0" customWidth="1"/>
    <col min="13" max="13" width="10.7109375" style="0" bestFit="1" customWidth="1"/>
    <col min="14" max="14" width="10.00390625" style="0" customWidth="1"/>
    <col min="15" max="15" width="25.7109375" style="0" customWidth="1"/>
    <col min="16" max="16" width="0.9921875" style="0" customWidth="1"/>
    <col min="17" max="17" width="7.57421875" style="0" hidden="1" customWidth="1"/>
    <col min="18" max="18" width="3.140625" style="0" hidden="1" customWidth="1"/>
    <col min="19" max="19" width="8.8515625" style="0" hidden="1" customWidth="1"/>
    <col min="20" max="20" width="9.7109375" style="6" hidden="1" customWidth="1"/>
    <col min="21" max="21" width="9.7109375" style="0" hidden="1" customWidth="1"/>
    <col min="22" max="23" width="9.00390625" style="0" hidden="1" customWidth="1"/>
    <col min="24" max="24" width="9.00390625" style="195" hidden="1" customWidth="1"/>
    <col min="25" max="26" width="5.140625" style="195" hidden="1" customWidth="1"/>
    <col min="27" max="27" width="5.28125" style="195" hidden="1" customWidth="1"/>
    <col min="28" max="29" width="5.57421875" style="195" hidden="1" customWidth="1"/>
    <col min="30" max="30" width="5.421875" style="195" hidden="1" customWidth="1"/>
    <col min="31" max="32" width="5.57421875" style="195" hidden="1" customWidth="1"/>
    <col min="33" max="33" width="6.28125" style="195" hidden="1" customWidth="1"/>
    <col min="34" max="34" width="12.140625" style="195" hidden="1" customWidth="1"/>
    <col min="35" max="35" width="8.8515625" style="195" hidden="1" customWidth="1"/>
    <col min="36" max="36" width="2.8515625" style="0" hidden="1" customWidth="1"/>
    <col min="37" max="52" width="8.8515625" style="0" hidden="1" customWidth="1"/>
    <col min="53" max="54" width="8.8515625" style="6" hidden="1" customWidth="1"/>
    <col min="55" max="57" width="8.8515625" style="0" hidden="1" customWidth="1"/>
    <col min="58" max="58" width="4.00390625" style="0" hidden="1" customWidth="1"/>
    <col min="59" max="60" width="8.8515625" style="6" hidden="1" customWidth="1"/>
    <col min="61" max="63" width="8.8515625" style="0" hidden="1" customWidth="1"/>
    <col min="64" max="64" width="3.57421875" style="0" hidden="1" customWidth="1"/>
    <col min="65" max="81" width="8.8515625" style="0" hidden="1" customWidth="1"/>
    <col min="82" max="82" width="1.57421875" style="0" customWidth="1"/>
  </cols>
  <sheetData>
    <row r="2" spans="4:82" ht="18" customHeight="1">
      <c r="D2" s="480" t="s">
        <v>358</v>
      </c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CD2" s="449"/>
    </row>
    <row r="3" spans="4:82" ht="12.75" customHeight="1"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CD3" s="449"/>
    </row>
    <row r="4" spans="4:82" ht="12.75" customHeight="1">
      <c r="D4" s="126"/>
      <c r="E4" s="126"/>
      <c r="F4" s="126"/>
      <c r="G4" s="126"/>
      <c r="H4" s="127" t="s">
        <v>415</v>
      </c>
      <c r="I4" s="629"/>
      <c r="J4" s="630"/>
      <c r="K4" s="126"/>
      <c r="L4" s="126"/>
      <c r="M4" s="126"/>
      <c r="N4" s="126"/>
      <c r="O4" s="126"/>
      <c r="P4" s="126"/>
      <c r="CD4" s="449"/>
    </row>
    <row r="5" spans="4:91" ht="13.5" thickBot="1">
      <c r="D5" s="3"/>
      <c r="E5" s="3"/>
      <c r="F5" s="3"/>
      <c r="G5" s="10"/>
      <c r="H5" s="628" t="s">
        <v>468</v>
      </c>
      <c r="I5" s="628"/>
      <c r="J5" s="628"/>
      <c r="K5" s="628"/>
      <c r="L5" s="3"/>
      <c r="M5" s="3"/>
      <c r="N5" s="3"/>
      <c r="O5" s="3"/>
      <c r="P5" s="3"/>
      <c r="S5" s="200"/>
      <c r="T5" s="201"/>
      <c r="U5" s="200"/>
      <c r="V5" s="200"/>
      <c r="W5" s="200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1"/>
      <c r="BB5" s="201"/>
      <c r="BC5" s="200"/>
      <c r="BD5" s="200"/>
      <c r="BE5" s="200"/>
      <c r="BF5" s="200"/>
      <c r="BG5" s="201"/>
      <c r="BH5" s="201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449"/>
      <c r="CE5" s="200"/>
      <c r="CF5" s="200"/>
      <c r="CG5" s="200"/>
      <c r="CH5" s="200"/>
      <c r="CI5" s="200"/>
      <c r="CJ5" s="200"/>
      <c r="CK5" s="200"/>
      <c r="CL5" s="200"/>
      <c r="CM5" s="200"/>
    </row>
    <row r="6" spans="4:91" ht="13.5" thickBot="1">
      <c r="D6" s="3"/>
      <c r="E6" s="294"/>
      <c r="F6" s="632" t="s">
        <v>207</v>
      </c>
      <c r="G6" s="633"/>
      <c r="H6" s="3"/>
      <c r="I6" s="631"/>
      <c r="J6" s="631"/>
      <c r="K6" s="3"/>
      <c r="L6" s="3"/>
      <c r="M6" s="3"/>
      <c r="N6" s="3"/>
      <c r="O6" s="3"/>
      <c r="P6" s="3"/>
      <c r="S6" s="200"/>
      <c r="T6" s="201"/>
      <c r="U6" s="200"/>
      <c r="V6" s="200"/>
      <c r="W6" s="200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1"/>
      <c r="BB6" s="201"/>
      <c r="BC6" s="200"/>
      <c r="BD6" s="200"/>
      <c r="BE6" s="200"/>
      <c r="BF6" s="200"/>
      <c r="BG6" s="201"/>
      <c r="BH6" s="201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449"/>
      <c r="CE6" s="200"/>
      <c r="CF6" s="200"/>
      <c r="CG6" s="200"/>
      <c r="CH6" s="200"/>
      <c r="CI6" s="200"/>
      <c r="CJ6" s="200"/>
      <c r="CK6" s="200"/>
      <c r="CL6" s="200"/>
      <c r="CM6" s="200"/>
    </row>
    <row r="7" spans="4:91" ht="12.75">
      <c r="D7" s="3"/>
      <c r="E7" s="3"/>
      <c r="F7" s="633" t="s">
        <v>208</v>
      </c>
      <c r="G7" s="633"/>
      <c r="H7" s="3"/>
      <c r="I7" s="631"/>
      <c r="J7" s="631"/>
      <c r="K7" s="3"/>
      <c r="L7" s="3"/>
      <c r="M7" s="3"/>
      <c r="N7" s="3"/>
      <c r="O7" s="3"/>
      <c r="P7" s="3"/>
      <c r="S7" s="200"/>
      <c r="T7" s="201"/>
      <c r="U7" s="200"/>
      <c r="V7" s="200"/>
      <c r="W7" s="200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1"/>
      <c r="BB7" s="201"/>
      <c r="BC7" s="200"/>
      <c r="BD7" s="200"/>
      <c r="BE7" s="200"/>
      <c r="BF7" s="200"/>
      <c r="BG7" s="201"/>
      <c r="BH7" s="201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449"/>
      <c r="CE7" s="200"/>
      <c r="CF7" s="200"/>
      <c r="CG7" s="200"/>
      <c r="CH7" s="200"/>
      <c r="CI7" s="200"/>
      <c r="CJ7" s="200"/>
      <c r="CK7" s="200"/>
      <c r="CL7" s="200"/>
      <c r="CM7" s="200"/>
    </row>
    <row r="8" spans="4:91" ht="12.75">
      <c r="D8" s="3"/>
      <c r="E8" s="82"/>
      <c r="F8" s="199"/>
      <c r="G8" s="10"/>
      <c r="H8" s="3"/>
      <c r="I8" s="3"/>
      <c r="J8" s="3"/>
      <c r="K8" s="3"/>
      <c r="L8" s="3"/>
      <c r="M8" s="3"/>
      <c r="N8" s="3"/>
      <c r="O8" s="3"/>
      <c r="P8" s="3"/>
      <c r="S8" s="200"/>
      <c r="T8" s="201"/>
      <c r="U8" s="200"/>
      <c r="V8" s="200"/>
      <c r="W8" s="200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1"/>
      <c r="BB8" s="201"/>
      <c r="BC8" s="200"/>
      <c r="BD8" s="200"/>
      <c r="BE8" s="200"/>
      <c r="BF8" s="200"/>
      <c r="BG8" s="201"/>
      <c r="BH8" s="201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449"/>
      <c r="CE8" s="200"/>
      <c r="CF8" s="200"/>
      <c r="CG8" s="200"/>
      <c r="CH8" s="200"/>
      <c r="CI8" s="200"/>
      <c r="CJ8" s="200"/>
      <c r="CK8" s="200"/>
      <c r="CL8" s="200"/>
      <c r="CM8" s="200"/>
    </row>
    <row r="9" spans="4:91" ht="13.5" thickBot="1">
      <c r="D9" s="3"/>
      <c r="E9" s="117"/>
      <c r="F9" s="3"/>
      <c r="G9" s="10"/>
      <c r="H9" s="3"/>
      <c r="I9" s="3"/>
      <c r="J9" s="3"/>
      <c r="K9" s="3"/>
      <c r="L9" s="3"/>
      <c r="M9" s="3"/>
      <c r="N9" s="3"/>
      <c r="O9" s="3"/>
      <c r="P9" s="3"/>
      <c r="S9" s="200"/>
      <c r="T9" s="201"/>
      <c r="U9" s="200"/>
      <c r="V9" s="200"/>
      <c r="W9" s="200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1"/>
      <c r="BB9" s="201"/>
      <c r="BC9" s="200"/>
      <c r="BD9" s="200"/>
      <c r="BE9" s="200"/>
      <c r="BF9" s="200"/>
      <c r="BG9" s="201"/>
      <c r="BH9" s="201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449"/>
      <c r="CE9" s="200"/>
      <c r="CF9" s="200"/>
      <c r="CG9" s="200"/>
      <c r="CH9" s="200"/>
      <c r="CI9" s="200"/>
      <c r="CJ9" s="200"/>
      <c r="CK9" s="200"/>
      <c r="CL9" s="200"/>
      <c r="CM9" s="200"/>
    </row>
    <row r="10" spans="2:91" ht="13.5" thickBot="1">
      <c r="B10" s="54">
        <f>IF(E10&gt;0,1,0)</f>
        <v>0</v>
      </c>
      <c r="D10" s="3"/>
      <c r="E10" s="294"/>
      <c r="F10" s="3"/>
      <c r="G10" s="10" t="s">
        <v>10</v>
      </c>
      <c r="H10" s="3"/>
      <c r="I10" s="3"/>
      <c r="J10" s="117">
        <f>IF(B12&gt;1,"Spuntare una sola delle condizioni &gt; o &lt; 7000 mc","")</f>
      </c>
      <c r="K10" s="3"/>
      <c r="L10" s="3"/>
      <c r="M10" s="3"/>
      <c r="N10" s="3"/>
      <c r="O10" s="3"/>
      <c r="P10" s="3"/>
      <c r="S10" s="200"/>
      <c r="T10" s="201"/>
      <c r="U10" s="200"/>
      <c r="V10" s="200"/>
      <c r="W10" s="200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3">
        <f>IF(E10&gt;0,1,0)</f>
        <v>0</v>
      </c>
      <c r="BB10" s="204"/>
      <c r="BC10" s="200"/>
      <c r="BD10" s="200"/>
      <c r="BE10" s="200"/>
      <c r="BF10" s="200"/>
      <c r="BG10" s="201"/>
      <c r="BH10" s="201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449"/>
      <c r="CE10" s="200"/>
      <c r="CF10" s="200"/>
      <c r="CG10" s="200"/>
      <c r="CH10" s="200"/>
      <c r="CI10" s="200"/>
      <c r="CJ10" s="200"/>
      <c r="CK10" s="200"/>
      <c r="CL10" s="200"/>
      <c r="CM10" s="200"/>
    </row>
    <row r="11" spans="2:91" ht="13.5" thickBot="1">
      <c r="B11" s="54">
        <f>IF(E11&gt;0,1,0)</f>
        <v>0</v>
      </c>
      <c r="D11" s="3"/>
      <c r="E11" s="294"/>
      <c r="F11" s="3"/>
      <c r="G11" s="10" t="s">
        <v>11</v>
      </c>
      <c r="H11" s="3"/>
      <c r="I11" s="3"/>
      <c r="J11" s="117" t="str">
        <f>IF(B12=0,"Spuntare una delle condizioni &gt; o &lt; 7000 mc","")</f>
        <v>Spuntare una delle condizioni &gt; o &lt; 7000 mc</v>
      </c>
      <c r="K11" s="3"/>
      <c r="L11" s="3"/>
      <c r="M11" s="3"/>
      <c r="N11" s="3"/>
      <c r="O11" s="3"/>
      <c r="P11" s="3"/>
      <c r="S11" s="200"/>
      <c r="T11" s="201"/>
      <c r="U11" s="200"/>
      <c r="V11" s="200"/>
      <c r="W11" s="200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3">
        <f>IF(E11&gt;0,1,0)</f>
        <v>0</v>
      </c>
      <c r="BB11" s="204"/>
      <c r="BC11" s="200"/>
      <c r="BD11" s="200"/>
      <c r="BE11" s="200"/>
      <c r="BF11" s="200"/>
      <c r="BG11" s="201"/>
      <c r="BH11" s="201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449"/>
      <c r="CE11" s="200"/>
      <c r="CF11" s="200"/>
      <c r="CG11" s="200"/>
      <c r="CH11" s="200"/>
      <c r="CI11" s="200"/>
      <c r="CJ11" s="200"/>
      <c r="CK11" s="200"/>
      <c r="CL11" s="200"/>
      <c r="CM11" s="200"/>
    </row>
    <row r="12" spans="2:91" ht="12.75">
      <c r="B12" s="54">
        <f>SUM(B10:B11)</f>
        <v>0</v>
      </c>
      <c r="D12" s="3"/>
      <c r="E12" s="3"/>
      <c r="F12" s="3"/>
      <c r="G12" s="10"/>
      <c r="H12" s="3"/>
      <c r="I12" s="3"/>
      <c r="J12" s="3"/>
      <c r="K12" s="3"/>
      <c r="L12" s="3"/>
      <c r="M12" s="3"/>
      <c r="N12" s="3"/>
      <c r="O12" s="3"/>
      <c r="P12" s="3"/>
      <c r="S12" s="200"/>
      <c r="T12" s="201"/>
      <c r="U12" s="200"/>
      <c r="V12" s="200"/>
      <c r="W12" s="200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1"/>
      <c r="BB12" s="201"/>
      <c r="BC12" s="200"/>
      <c r="BD12" s="200"/>
      <c r="BE12" s="200"/>
      <c r="BF12" s="200"/>
      <c r="BG12" s="201"/>
      <c r="BH12" s="201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449"/>
      <c r="CE12" s="200"/>
      <c r="CF12" s="200"/>
      <c r="CG12" s="200"/>
      <c r="CH12" s="200"/>
      <c r="CI12" s="200"/>
      <c r="CJ12" s="200"/>
      <c r="CK12" s="200"/>
      <c r="CL12" s="200"/>
      <c r="CM12" s="200"/>
    </row>
    <row r="13" spans="2:91" ht="13.5" thickBot="1">
      <c r="B13" s="160"/>
      <c r="D13" s="3"/>
      <c r="E13" s="3"/>
      <c r="F13" s="3"/>
      <c r="G13" s="10"/>
      <c r="H13" s="3"/>
      <c r="I13" s="3"/>
      <c r="J13" s="3"/>
      <c r="K13" s="3"/>
      <c r="L13" s="3"/>
      <c r="M13" s="3"/>
      <c r="N13" s="3"/>
      <c r="O13" s="3"/>
      <c r="P13" s="3"/>
      <c r="S13" s="200"/>
      <c r="T13" s="201"/>
      <c r="U13" s="200"/>
      <c r="V13" s="200"/>
      <c r="W13" s="200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1"/>
      <c r="BB13" s="201"/>
      <c r="BC13" s="200"/>
      <c r="BD13" s="200"/>
      <c r="BE13" s="200"/>
      <c r="BF13" s="200"/>
      <c r="BG13" s="201"/>
      <c r="BH13" s="201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449"/>
      <c r="CE13" s="200"/>
      <c r="CF13" s="200"/>
      <c r="CG13" s="200"/>
      <c r="CH13" s="200"/>
      <c r="CI13" s="200"/>
      <c r="CJ13" s="200"/>
      <c r="CK13" s="200"/>
      <c r="CL13" s="200"/>
      <c r="CM13" s="200"/>
    </row>
    <row r="14" spans="2:91" ht="13.5" thickBot="1">
      <c r="B14" s="54">
        <f>IF(E14&gt;0,1,0)</f>
        <v>0</v>
      </c>
      <c r="D14" s="3"/>
      <c r="E14" s="294"/>
      <c r="F14" s="3" t="s">
        <v>202</v>
      </c>
      <c r="G14" s="10"/>
      <c r="H14" s="3"/>
      <c r="I14" s="3"/>
      <c r="J14" s="117">
        <f>IF(B19&gt;1,"Spuntare una sola delle tre condizioni","")</f>
      </c>
      <c r="L14" s="3"/>
      <c r="M14" s="3"/>
      <c r="N14" s="3"/>
      <c r="O14" s="3"/>
      <c r="P14" s="3"/>
      <c r="S14" s="283">
        <f>IF(E14&gt;0,1,0)</f>
        <v>0</v>
      </c>
      <c r="T14" s="201">
        <f>S14</f>
        <v>0</v>
      </c>
      <c r="U14" s="200"/>
      <c r="V14" s="200"/>
      <c r="W14" s="200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1"/>
      <c r="BB14" s="201"/>
      <c r="BC14" s="200"/>
      <c r="BD14" s="200"/>
      <c r="BE14" s="200"/>
      <c r="BF14" s="200"/>
      <c r="BG14" s="201"/>
      <c r="BH14" s="201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449"/>
      <c r="CE14" s="200"/>
      <c r="CF14" s="200"/>
      <c r="CG14" s="200"/>
      <c r="CH14" s="200"/>
      <c r="CI14" s="200"/>
      <c r="CJ14" s="200"/>
      <c r="CK14" s="200"/>
      <c r="CL14" s="200"/>
      <c r="CM14" s="200"/>
    </row>
    <row r="15" spans="2:91" ht="13.5" thickBot="1">
      <c r="B15" s="160"/>
      <c r="D15" s="3"/>
      <c r="E15" s="126"/>
      <c r="F15" s="3"/>
      <c r="G15" s="10"/>
      <c r="H15" s="3"/>
      <c r="I15" s="3"/>
      <c r="J15" s="3"/>
      <c r="K15" s="3"/>
      <c r="L15" s="3"/>
      <c r="M15" s="3"/>
      <c r="N15" s="3"/>
      <c r="O15" s="3"/>
      <c r="P15" s="3"/>
      <c r="S15" s="283"/>
      <c r="T15" s="201"/>
      <c r="U15" s="200"/>
      <c r="V15" s="200"/>
      <c r="W15" s="200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1"/>
      <c r="BB15" s="201"/>
      <c r="BC15" s="200"/>
      <c r="BD15" s="200"/>
      <c r="BE15" s="200"/>
      <c r="BF15" s="200"/>
      <c r="BG15" s="201"/>
      <c r="BH15" s="201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449"/>
      <c r="CE15" s="200"/>
      <c r="CF15" s="200"/>
      <c r="CG15" s="200"/>
      <c r="CH15" s="200"/>
      <c r="CI15" s="200"/>
      <c r="CJ15" s="200"/>
      <c r="CK15" s="200"/>
      <c r="CL15" s="200"/>
      <c r="CM15" s="200"/>
    </row>
    <row r="16" spans="2:91" ht="13.5" thickBot="1">
      <c r="B16" s="54">
        <f>IF(E16&gt;0,1,0)</f>
        <v>0</v>
      </c>
      <c r="D16" s="3"/>
      <c r="E16" s="294"/>
      <c r="F16" s="3" t="s">
        <v>107</v>
      </c>
      <c r="G16" s="10"/>
      <c r="H16" s="3"/>
      <c r="I16" s="3"/>
      <c r="J16" s="3"/>
      <c r="K16" s="3"/>
      <c r="L16" s="3"/>
      <c r="M16" s="3"/>
      <c r="N16" s="3"/>
      <c r="O16" s="3"/>
      <c r="P16" s="3"/>
      <c r="S16" s="283">
        <f>IF(E16&gt;0,5,0)</f>
        <v>0</v>
      </c>
      <c r="T16" s="201">
        <f>S16</f>
        <v>0</v>
      </c>
      <c r="U16" s="200"/>
      <c r="V16" s="200"/>
      <c r="W16" s="200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1"/>
      <c r="BB16" s="201"/>
      <c r="BC16" s="200"/>
      <c r="BD16" s="200"/>
      <c r="BE16" s="200"/>
      <c r="BF16" s="200"/>
      <c r="BG16" s="201"/>
      <c r="BH16" s="201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449"/>
      <c r="CE16" s="200"/>
      <c r="CF16" s="200"/>
      <c r="CG16" s="200"/>
      <c r="CH16" s="200"/>
      <c r="CI16" s="200"/>
      <c r="CJ16" s="200"/>
      <c r="CK16" s="200"/>
      <c r="CL16" s="200"/>
      <c r="CM16" s="200"/>
    </row>
    <row r="17" spans="2:91" ht="13.5" thickBot="1">
      <c r="B17" s="160"/>
      <c r="D17" s="3"/>
      <c r="E17" s="126"/>
      <c r="F17" s="3"/>
      <c r="G17" s="10"/>
      <c r="H17" s="3"/>
      <c r="I17" s="3"/>
      <c r="J17" s="3"/>
      <c r="K17" s="3"/>
      <c r="L17" s="3"/>
      <c r="M17" s="3"/>
      <c r="N17" s="3"/>
      <c r="O17" s="3"/>
      <c r="P17" s="3"/>
      <c r="S17" s="283"/>
      <c r="T17" s="201"/>
      <c r="U17" s="200"/>
      <c r="V17" s="200"/>
      <c r="W17" s="200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1"/>
      <c r="BB17" s="201"/>
      <c r="BC17" s="200"/>
      <c r="BD17" s="200"/>
      <c r="BE17" s="200"/>
      <c r="BF17" s="200"/>
      <c r="BG17" s="201"/>
      <c r="BH17" s="201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449"/>
      <c r="CE17" s="200"/>
      <c r="CF17" s="200"/>
      <c r="CG17" s="200"/>
      <c r="CH17" s="200"/>
      <c r="CI17" s="200"/>
      <c r="CJ17" s="200"/>
      <c r="CK17" s="200"/>
      <c r="CL17" s="200"/>
      <c r="CM17" s="200"/>
    </row>
    <row r="18" spans="2:91" ht="13.5" thickBot="1">
      <c r="B18" s="54">
        <f>IF(E18&gt;0,1,0)</f>
        <v>0</v>
      </c>
      <c r="D18" s="3"/>
      <c r="E18" s="294"/>
      <c r="F18" s="3" t="s">
        <v>106</v>
      </c>
      <c r="G18" s="10"/>
      <c r="H18" s="3"/>
      <c r="I18" s="3"/>
      <c r="J18" s="3"/>
      <c r="K18" s="3"/>
      <c r="L18" s="3"/>
      <c r="M18" s="3"/>
      <c r="N18" s="3"/>
      <c r="O18" s="3"/>
      <c r="P18" s="3"/>
      <c r="S18" s="283">
        <f>IF(E18&gt;0,9,0)</f>
        <v>0</v>
      </c>
      <c r="T18" s="201">
        <f>S18</f>
        <v>0</v>
      </c>
      <c r="U18" s="200"/>
      <c r="V18" s="200"/>
      <c r="W18" s="200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6"/>
      <c r="BA18" s="205"/>
      <c r="BB18" s="205"/>
      <c r="BC18" s="207"/>
      <c r="BD18" s="207"/>
      <c r="BE18" s="207" t="s">
        <v>304</v>
      </c>
      <c r="BF18" s="207"/>
      <c r="BG18" s="205"/>
      <c r="BH18" s="205"/>
      <c r="BI18" s="207"/>
      <c r="BJ18" s="207"/>
      <c r="BK18" s="208"/>
      <c r="BL18" s="200"/>
      <c r="BM18" s="200"/>
      <c r="BN18" s="206"/>
      <c r="BO18" s="207"/>
      <c r="BP18" s="207"/>
      <c r="BQ18" s="207"/>
      <c r="BR18" s="207"/>
      <c r="BS18" s="207" t="s">
        <v>305</v>
      </c>
      <c r="BT18" s="207"/>
      <c r="BU18" s="207"/>
      <c r="BV18" s="207"/>
      <c r="BW18" s="207"/>
      <c r="BX18" s="207"/>
      <c r="BY18" s="208"/>
      <c r="BZ18" s="200"/>
      <c r="CA18" s="200"/>
      <c r="CB18" s="200"/>
      <c r="CC18" s="200"/>
      <c r="CD18" s="449"/>
      <c r="CE18" s="200"/>
      <c r="CF18" s="200"/>
      <c r="CG18" s="200"/>
      <c r="CH18" s="200"/>
      <c r="CI18" s="200"/>
      <c r="CJ18" s="200"/>
      <c r="CK18" s="200"/>
      <c r="CL18" s="200"/>
      <c r="CM18" s="200"/>
    </row>
    <row r="19" spans="2:91" ht="12.75">
      <c r="B19" s="54">
        <f>SUM(B14:B18)</f>
        <v>0</v>
      </c>
      <c r="D19" s="3"/>
      <c r="E19" s="81"/>
      <c r="F19" s="3"/>
      <c r="G19" s="10"/>
      <c r="H19" s="3"/>
      <c r="I19" s="3"/>
      <c r="J19" s="3"/>
      <c r="K19" s="3"/>
      <c r="L19" s="3"/>
      <c r="M19" s="3"/>
      <c r="N19" s="3"/>
      <c r="O19" s="3"/>
      <c r="P19" s="3"/>
      <c r="S19" s="200"/>
      <c r="T19" s="201"/>
      <c r="U19" s="200"/>
      <c r="V19" s="200"/>
      <c r="W19" s="200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1"/>
      <c r="BB19" s="201"/>
      <c r="BC19" s="200"/>
      <c r="BD19" s="200"/>
      <c r="BE19" s="200"/>
      <c r="BF19" s="200"/>
      <c r="BG19" s="201"/>
      <c r="BH19" s="201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449"/>
      <c r="CE19" s="200"/>
      <c r="CF19" s="200"/>
      <c r="CG19" s="200"/>
      <c r="CH19" s="200"/>
      <c r="CI19" s="200"/>
      <c r="CJ19" s="200"/>
      <c r="CK19" s="200"/>
      <c r="CL19" s="200"/>
      <c r="CM19" s="200"/>
    </row>
    <row r="20" spans="4:91" ht="12.75">
      <c r="D20" s="3"/>
      <c r="E20" s="117">
        <f>IF(A46&gt;1,"Suntare un solo uso","")</f>
      </c>
      <c r="F20" s="97"/>
      <c r="G20" s="97"/>
      <c r="H20" s="97"/>
      <c r="I20" s="117">
        <f>IF(B46&gt;1,"Suntare un solo uso","")</f>
      </c>
      <c r="J20" s="3"/>
      <c r="K20" s="3"/>
      <c r="L20" s="3"/>
      <c r="M20" s="3"/>
      <c r="N20" s="3"/>
      <c r="O20" s="3"/>
      <c r="P20" s="3"/>
      <c r="S20" s="200"/>
      <c r="T20" s="201"/>
      <c r="U20" s="200"/>
      <c r="V20" s="200"/>
      <c r="W20" s="200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9"/>
      <c r="BA20" s="210"/>
      <c r="BB20" s="210"/>
      <c r="BC20" s="209" t="s">
        <v>7</v>
      </c>
      <c r="BD20" s="209"/>
      <c r="BE20" s="209"/>
      <c r="BF20" s="209"/>
      <c r="BG20" s="210"/>
      <c r="BH20" s="210"/>
      <c r="BI20" s="209" t="s">
        <v>12</v>
      </c>
      <c r="BJ20" s="209"/>
      <c r="BK20" s="209"/>
      <c r="BL20" s="200"/>
      <c r="BM20" s="200"/>
      <c r="BN20" s="209"/>
      <c r="BO20" s="210"/>
      <c r="BP20" s="210"/>
      <c r="BQ20" s="209" t="s">
        <v>7</v>
      </c>
      <c r="BR20" s="209"/>
      <c r="BS20" s="209"/>
      <c r="BT20" s="209"/>
      <c r="BU20" s="210"/>
      <c r="BV20" s="210"/>
      <c r="BW20" s="209" t="s">
        <v>12</v>
      </c>
      <c r="BX20" s="209"/>
      <c r="BY20" s="209"/>
      <c r="BZ20" s="200"/>
      <c r="CA20" s="200"/>
      <c r="CB20" s="200"/>
      <c r="CC20" s="200"/>
      <c r="CD20" s="449"/>
      <c r="CE20" s="200"/>
      <c r="CF20" s="200"/>
      <c r="CG20" s="200"/>
      <c r="CH20" s="200"/>
      <c r="CI20" s="200"/>
      <c r="CJ20" s="200"/>
      <c r="CK20" s="200"/>
      <c r="CL20" s="200"/>
      <c r="CM20" s="200"/>
    </row>
    <row r="21" spans="4:91" ht="13.5" thickBot="1">
      <c r="D21" s="3"/>
      <c r="E21" s="3" t="s">
        <v>546</v>
      </c>
      <c r="F21" s="3"/>
      <c r="G21" s="10"/>
      <c r="H21" s="3"/>
      <c r="I21" s="3" t="s">
        <v>547</v>
      </c>
      <c r="J21" s="3"/>
      <c r="K21" s="3"/>
      <c r="L21" s="3"/>
      <c r="M21" s="3"/>
      <c r="N21" s="3"/>
      <c r="O21" s="3"/>
      <c r="P21" s="3"/>
      <c r="R21" s="212" t="s">
        <v>197</v>
      </c>
      <c r="S21" s="200"/>
      <c r="T21" s="211" t="s">
        <v>199</v>
      </c>
      <c r="U21" s="212" t="s">
        <v>200</v>
      </c>
      <c r="V21" s="212" t="s">
        <v>201</v>
      </c>
      <c r="W21" s="212"/>
      <c r="X21" s="213"/>
      <c r="Y21" s="214" t="s">
        <v>120</v>
      </c>
      <c r="Z21" s="214" t="s">
        <v>121</v>
      </c>
      <c r="AA21" s="214" t="s">
        <v>122</v>
      </c>
      <c r="AB21" s="214" t="s">
        <v>120</v>
      </c>
      <c r="AC21" s="214" t="s">
        <v>121</v>
      </c>
      <c r="AD21" s="214" t="s">
        <v>122</v>
      </c>
      <c r="AE21" s="214" t="s">
        <v>120</v>
      </c>
      <c r="AF21" s="214" t="s">
        <v>121</v>
      </c>
      <c r="AG21" s="214" t="s">
        <v>122</v>
      </c>
      <c r="AH21" s="213"/>
      <c r="AI21" s="202"/>
      <c r="AJ21" s="212" t="s">
        <v>198</v>
      </c>
      <c r="AK21" s="200"/>
      <c r="AL21" s="215"/>
      <c r="AM21" s="213"/>
      <c r="AN21" s="214" t="s">
        <v>120</v>
      </c>
      <c r="AO21" s="214" t="s">
        <v>121</v>
      </c>
      <c r="AP21" s="214" t="s">
        <v>122</v>
      </c>
      <c r="AQ21" s="214" t="s">
        <v>120</v>
      </c>
      <c r="AR21" s="214" t="s">
        <v>121</v>
      </c>
      <c r="AS21" s="214" t="s">
        <v>122</v>
      </c>
      <c r="AT21" s="214" t="s">
        <v>120</v>
      </c>
      <c r="AU21" s="214" t="s">
        <v>121</v>
      </c>
      <c r="AV21" s="214" t="s">
        <v>122</v>
      </c>
      <c r="AW21" s="213"/>
      <c r="AX21" s="200"/>
      <c r="AY21" s="200"/>
      <c r="AZ21" s="209"/>
      <c r="BA21" s="210"/>
      <c r="BB21" s="210"/>
      <c r="BC21" s="210" t="s">
        <v>8</v>
      </c>
      <c r="BD21" s="210"/>
      <c r="BE21" s="210" t="s">
        <v>9</v>
      </c>
      <c r="BF21" s="210"/>
      <c r="BG21" s="210"/>
      <c r="BH21" s="210"/>
      <c r="BI21" s="210" t="s">
        <v>8</v>
      </c>
      <c r="BJ21" s="210"/>
      <c r="BK21" s="210" t="s">
        <v>9</v>
      </c>
      <c r="BL21" s="200"/>
      <c r="BM21" s="200"/>
      <c r="BN21" s="209"/>
      <c r="BO21" s="210"/>
      <c r="BP21" s="210"/>
      <c r="BQ21" s="210" t="s">
        <v>8</v>
      </c>
      <c r="BR21" s="210"/>
      <c r="BS21" s="210" t="s">
        <v>9</v>
      </c>
      <c r="BT21" s="210"/>
      <c r="BU21" s="210"/>
      <c r="BV21" s="210"/>
      <c r="BW21" s="210" t="s">
        <v>8</v>
      </c>
      <c r="BX21" s="210"/>
      <c r="BY21" s="210" t="s">
        <v>9</v>
      </c>
      <c r="BZ21" s="200"/>
      <c r="CA21" s="200"/>
      <c r="CB21" s="200"/>
      <c r="CC21" s="200"/>
      <c r="CD21" s="449"/>
      <c r="CE21" s="200"/>
      <c r="CF21" s="200"/>
      <c r="CG21" s="200"/>
      <c r="CH21" s="200"/>
      <c r="CI21" s="200"/>
      <c r="CJ21" s="200"/>
      <c r="CK21" s="200"/>
      <c r="CL21" s="200"/>
      <c r="CM21" s="200"/>
    </row>
    <row r="22" spans="1:91" ht="13.5" thickBot="1">
      <c r="A22" s="272">
        <f>IF(E22&gt;0,1,0)</f>
        <v>0</v>
      </c>
      <c r="B22" s="272">
        <f>IF(I22&gt;0,1,0)</f>
        <v>0</v>
      </c>
      <c r="D22" s="3"/>
      <c r="E22" s="295"/>
      <c r="F22" s="234" t="s">
        <v>23</v>
      </c>
      <c r="G22" s="42"/>
      <c r="H22" s="3"/>
      <c r="I22" s="295"/>
      <c r="J22" s="234" t="s">
        <v>23</v>
      </c>
      <c r="K22" s="42"/>
      <c r="L22" s="3"/>
      <c r="M22" s="3"/>
      <c r="N22" s="3"/>
      <c r="O22" s="3"/>
      <c r="P22" s="3"/>
      <c r="R22" s="187"/>
      <c r="S22" s="216" t="s">
        <v>23</v>
      </c>
      <c r="T22" s="217">
        <v>195</v>
      </c>
      <c r="U22" s="217">
        <v>195</v>
      </c>
      <c r="V22" s="217">
        <v>107.25</v>
      </c>
      <c r="W22" s="218"/>
      <c r="X22" s="219">
        <f>IF(E22&gt;0,1,0)</f>
        <v>0</v>
      </c>
      <c r="Y22" s="220">
        <f>IF($X22+$S$14=2,$T22,"")</f>
      </c>
      <c r="Z22" s="220">
        <f>IF(X22&gt;0,85,0)</f>
        <v>0</v>
      </c>
      <c r="AA22" s="220">
        <f>IF(X22&gt;0,110,0)</f>
        <v>0</v>
      </c>
      <c r="AB22" s="220">
        <f>IF($X22+$S$16=6,$U22,"")</f>
      </c>
      <c r="AC22" s="220">
        <f>IF(X22&gt;0,85,0)</f>
        <v>0</v>
      </c>
      <c r="AD22" s="220">
        <f>IF(X22&gt;0,110,0)</f>
        <v>0</v>
      </c>
      <c r="AE22" s="220">
        <f>IF($X22+$S$18=10,$V22,"")</f>
      </c>
      <c r="AF22" s="220">
        <f>IF(X22&gt;0,46.75,0)</f>
        <v>0</v>
      </c>
      <c r="AG22" s="220">
        <f>IF(X22&gt;0,60.5,0)</f>
        <v>0</v>
      </c>
      <c r="AH22" s="220">
        <f>SUM(Y22:AE22)</f>
        <v>0</v>
      </c>
      <c r="AI22" s="202"/>
      <c r="AJ22" s="221"/>
      <c r="AK22" s="216" t="s">
        <v>23</v>
      </c>
      <c r="AL22" s="215"/>
      <c r="AM22" s="219">
        <f>IF(I22&gt;0,1,0)</f>
        <v>0</v>
      </c>
      <c r="AN22" s="220">
        <f>IF($AM22+$S$14=2,$T22,"")</f>
      </c>
      <c r="AO22" s="220">
        <f>IF(AM22&gt;0,85,0)</f>
        <v>0</v>
      </c>
      <c r="AP22" s="220">
        <f>IF(AM22&gt;0,110,0)</f>
        <v>0</v>
      </c>
      <c r="AQ22" s="220">
        <f>IF($AM22+$S$16=6,$U22,"")</f>
      </c>
      <c r="AR22" s="220">
        <f>IF(AM22&gt;0,85,0)</f>
        <v>0</v>
      </c>
      <c r="AS22" s="220">
        <f>IF(AM22&gt;0,110,0)</f>
        <v>0</v>
      </c>
      <c r="AT22" s="220">
        <f>IF($AM22+$S$18=10,$V22,"")</f>
      </c>
      <c r="AU22" s="220">
        <f>IF(AM22&gt;0,46.75,0)</f>
        <v>0</v>
      </c>
      <c r="AV22" s="220">
        <f>IF(AM22&gt;0,60.5,0)</f>
        <v>0</v>
      </c>
      <c r="AW22" s="220">
        <f>SUM(AN22:AT22)</f>
        <v>0</v>
      </c>
      <c r="AX22" s="200"/>
      <c r="AY22" s="200"/>
      <c r="AZ22" s="222" t="s">
        <v>123</v>
      </c>
      <c r="BA22" s="211">
        <f>IF(E22&gt;0,1,0)</f>
        <v>0</v>
      </c>
      <c r="BB22" s="239">
        <f aca="true" t="shared" si="0" ref="BB22:BB45">IF(BA22+$BA$10=2,BC22,0)</f>
        <v>0</v>
      </c>
      <c r="BC22" s="223">
        <v>0.1</v>
      </c>
      <c r="BD22" s="223">
        <f>IF(BA22+$BA$10=2,BE22,0)</f>
        <v>0</v>
      </c>
      <c r="BE22" s="223">
        <v>0</v>
      </c>
      <c r="BF22" s="223"/>
      <c r="BG22" s="210">
        <f>IF(E22&gt;0,2,0)</f>
        <v>0</v>
      </c>
      <c r="BH22" s="239">
        <f aca="true" t="shared" si="1" ref="BH22:BH45">IF(BG22+$BA$11=3,BI22,0)</f>
        <v>0</v>
      </c>
      <c r="BI22" s="223">
        <v>0.3</v>
      </c>
      <c r="BJ22" s="223">
        <f>IF(BG22+$BA$11=3,BK22,0)</f>
        <v>0</v>
      </c>
      <c r="BK22" s="223">
        <v>0.7</v>
      </c>
      <c r="BL22" s="200"/>
      <c r="BM22" s="200"/>
      <c r="BN22" s="222" t="s">
        <v>123</v>
      </c>
      <c r="BO22" s="211">
        <f>IF(I22&gt;0,1,0)</f>
        <v>0</v>
      </c>
      <c r="BP22" s="239">
        <f aca="true" t="shared" si="2" ref="BP22:BP45">IF(BO22+$BA$10=2,BQ22,0)</f>
        <v>0</v>
      </c>
      <c r="BQ22" s="223">
        <v>0.1</v>
      </c>
      <c r="BR22" s="223">
        <f>IF(BO22+$BA$10=2,BS22,0)</f>
        <v>0</v>
      </c>
      <c r="BS22" s="223">
        <v>0</v>
      </c>
      <c r="BT22" s="223"/>
      <c r="BU22" s="210">
        <f>IF(I22&gt;0,2,0)</f>
        <v>0</v>
      </c>
      <c r="BV22" s="239">
        <f aca="true" t="shared" si="3" ref="BV22:BV45">IF(BU22+$BA$11=3,BW22,0)</f>
        <v>0</v>
      </c>
      <c r="BW22" s="223">
        <v>0.3</v>
      </c>
      <c r="BX22" s="223">
        <f>IF(BU22+$BA$11=3,BY22,0)</f>
        <v>0</v>
      </c>
      <c r="BY22" s="223">
        <v>0.7</v>
      </c>
      <c r="BZ22" s="200"/>
      <c r="CA22" s="200"/>
      <c r="CB22" s="200"/>
      <c r="CC22" s="200"/>
      <c r="CD22" s="449"/>
      <c r="CE22" s="200"/>
      <c r="CF22" s="200"/>
      <c r="CG22" s="200"/>
      <c r="CH22" s="200"/>
      <c r="CI22" s="200"/>
      <c r="CJ22" s="200"/>
      <c r="CK22" s="200"/>
      <c r="CL22" s="200"/>
      <c r="CM22" s="200"/>
    </row>
    <row r="23" spans="1:91" ht="13.5" thickBot="1">
      <c r="A23" s="272">
        <f aca="true" t="shared" si="4" ref="A23:A45">IF(E23&gt;0,1,0)</f>
        <v>0</v>
      </c>
      <c r="B23" s="272">
        <f aca="true" t="shared" si="5" ref="B23:B45">IF(I23&gt;0,1,0)</f>
        <v>0</v>
      </c>
      <c r="D23" s="3"/>
      <c r="E23" s="295"/>
      <c r="F23" s="234" t="s">
        <v>24</v>
      </c>
      <c r="G23" s="42"/>
      <c r="H23" s="3"/>
      <c r="I23" s="295"/>
      <c r="J23" s="234" t="s">
        <v>24</v>
      </c>
      <c r="K23" s="42"/>
      <c r="L23" s="3"/>
      <c r="M23" s="3"/>
      <c r="N23" s="3"/>
      <c r="O23" s="3"/>
      <c r="P23" s="3"/>
      <c r="R23" s="187"/>
      <c r="S23" s="216" t="s">
        <v>24</v>
      </c>
      <c r="T23" s="217">
        <v>195</v>
      </c>
      <c r="U23" s="217">
        <v>195</v>
      </c>
      <c r="V23" s="217">
        <v>107.25</v>
      </c>
      <c r="W23" s="218"/>
      <c r="X23" s="219">
        <f aca="true" t="shared" si="6" ref="X23:X45">IF(E23&gt;0,1,0)</f>
        <v>0</v>
      </c>
      <c r="Y23" s="220">
        <f aca="true" t="shared" si="7" ref="Y23:Y45">IF($X23+$S$14=2,$T23,"")</f>
      </c>
      <c r="Z23" s="220">
        <f>IF(X23&gt;0,85,0)</f>
        <v>0</v>
      </c>
      <c r="AA23" s="220">
        <f>IF(X23&gt;0,110,0)</f>
        <v>0</v>
      </c>
      <c r="AB23" s="220">
        <f aca="true" t="shared" si="8" ref="AB23:AB45">IF($X23+$S$16=6,$U23,"")</f>
      </c>
      <c r="AC23" s="220">
        <f>IF(X23&gt;0,85,0)</f>
        <v>0</v>
      </c>
      <c r="AD23" s="220">
        <f>IF(X23&gt;0,110,0)</f>
        <v>0</v>
      </c>
      <c r="AE23" s="220">
        <f aca="true" t="shared" si="9" ref="AE23:AE45">IF($X23+$S$18=10,$V23,"")</f>
      </c>
      <c r="AF23" s="220">
        <f>IF(X23&gt;0,46.75,0)</f>
        <v>0</v>
      </c>
      <c r="AG23" s="220">
        <f>IF(X23&gt;0,60.5,0)</f>
        <v>0</v>
      </c>
      <c r="AH23" s="220">
        <f aca="true" t="shared" si="10" ref="AH23:AH45">SUM(Y23:AE23)</f>
        <v>0</v>
      </c>
      <c r="AI23" s="202"/>
      <c r="AJ23" s="221"/>
      <c r="AK23" s="216" t="s">
        <v>24</v>
      </c>
      <c r="AL23" s="215"/>
      <c r="AM23" s="219">
        <f aca="true" t="shared" si="11" ref="AM23:AM45">IF(I23&gt;0,1,0)</f>
        <v>0</v>
      </c>
      <c r="AN23" s="220">
        <f aca="true" t="shared" si="12" ref="AN23:AN45">IF($AM23+$S$14=2,$T23,"")</f>
      </c>
      <c r="AO23" s="220">
        <f>IF(AM23&gt;0,85,0)</f>
        <v>0</v>
      </c>
      <c r="AP23" s="220">
        <f>IF(AM23&gt;0,110,0)</f>
        <v>0</v>
      </c>
      <c r="AQ23" s="220">
        <f aca="true" t="shared" si="13" ref="AQ23:AQ45">IF($AM23+$S$16=6,$U23,"")</f>
      </c>
      <c r="AR23" s="220">
        <f>IF(AM23&gt;0,85,0)</f>
        <v>0</v>
      </c>
      <c r="AS23" s="220">
        <f>IF(AM23&gt;0,110,0)</f>
        <v>0</v>
      </c>
      <c r="AT23" s="220">
        <f aca="true" t="shared" si="14" ref="AT23:AT45">IF($AM23+$S$18=10,$V23,"")</f>
      </c>
      <c r="AU23" s="220">
        <f>IF(AM23&gt;0,46.75,0)</f>
        <v>0</v>
      </c>
      <c r="AV23" s="220">
        <f>IF(AM23&gt;0,60.5,0)</f>
        <v>0</v>
      </c>
      <c r="AW23" s="220">
        <f aca="true" t="shared" si="15" ref="AW23:AW45">SUM(AN23:AT23)</f>
        <v>0</v>
      </c>
      <c r="AX23" s="200"/>
      <c r="AY23" s="200"/>
      <c r="AZ23" s="222" t="s">
        <v>124</v>
      </c>
      <c r="BA23" s="211">
        <f aca="true" t="shared" si="16" ref="BA23:BA45">IF(E23&gt;0,1,0)</f>
        <v>0</v>
      </c>
      <c r="BB23" s="239">
        <f t="shared" si="0"/>
        <v>0</v>
      </c>
      <c r="BC23" s="223">
        <v>0.1</v>
      </c>
      <c r="BD23" s="223">
        <f aca="true" t="shared" si="17" ref="BD23:BD45">IF(BA23+$BA$10=2,BE23,0)</f>
        <v>0</v>
      </c>
      <c r="BE23" s="223">
        <v>0</v>
      </c>
      <c r="BF23" s="223"/>
      <c r="BG23" s="210">
        <f aca="true" t="shared" si="18" ref="BG23:BG45">IF(E23&gt;0,2,0)</f>
        <v>0</v>
      </c>
      <c r="BH23" s="239">
        <f t="shared" si="1"/>
        <v>0</v>
      </c>
      <c r="BI23" s="223">
        <v>0.3</v>
      </c>
      <c r="BJ23" s="223">
        <f aca="true" t="shared" si="19" ref="BJ23:BJ45">IF(BG23+$BA$11=3,BK23,0)</f>
        <v>0</v>
      </c>
      <c r="BK23" s="223">
        <v>0.7</v>
      </c>
      <c r="BL23" s="200"/>
      <c r="BM23" s="200"/>
      <c r="BN23" s="222" t="s">
        <v>124</v>
      </c>
      <c r="BO23" s="211">
        <f aca="true" t="shared" si="20" ref="BO23:BO45">IF(I23&gt;0,1,0)</f>
        <v>0</v>
      </c>
      <c r="BP23" s="239">
        <f t="shared" si="2"/>
        <v>0</v>
      </c>
      <c r="BQ23" s="223">
        <v>0.1</v>
      </c>
      <c r="BR23" s="223">
        <f aca="true" t="shared" si="21" ref="BR23:BR45">IF(BO23+$BA$10=2,BS23,0)</f>
        <v>0</v>
      </c>
      <c r="BS23" s="223">
        <v>0</v>
      </c>
      <c r="BT23" s="223"/>
      <c r="BU23" s="210">
        <f aca="true" t="shared" si="22" ref="BU23:BU45">IF(I23&gt;0,2,0)</f>
        <v>0</v>
      </c>
      <c r="BV23" s="239">
        <f t="shared" si="3"/>
        <v>0</v>
      </c>
      <c r="BW23" s="223">
        <v>0.3</v>
      </c>
      <c r="BX23" s="223">
        <f aca="true" t="shared" si="23" ref="BX23:BX45">IF(BU23+$BA$11=3,BY23,0)</f>
        <v>0</v>
      </c>
      <c r="BY23" s="223">
        <v>0.7</v>
      </c>
      <c r="BZ23" s="200"/>
      <c r="CA23" s="200"/>
      <c r="CB23" s="200"/>
      <c r="CC23" s="200"/>
      <c r="CD23" s="449"/>
      <c r="CE23" s="200"/>
      <c r="CF23" s="200"/>
      <c r="CG23" s="200"/>
      <c r="CH23" s="200"/>
      <c r="CI23" s="200"/>
      <c r="CJ23" s="200"/>
      <c r="CK23" s="200"/>
      <c r="CL23" s="200"/>
      <c r="CM23" s="200"/>
    </row>
    <row r="24" spans="1:91" ht="13.5" thickBot="1">
      <c r="A24" s="272">
        <f t="shared" si="4"/>
        <v>0</v>
      </c>
      <c r="B24" s="272">
        <f t="shared" si="5"/>
        <v>0</v>
      </c>
      <c r="D24" s="3"/>
      <c r="E24" s="294"/>
      <c r="F24" s="234" t="s">
        <v>25</v>
      </c>
      <c r="G24" s="42"/>
      <c r="H24" s="3"/>
      <c r="I24" s="294"/>
      <c r="J24" s="234" t="s">
        <v>25</v>
      </c>
      <c r="K24" s="42"/>
      <c r="L24" s="3"/>
      <c r="M24" s="3"/>
      <c r="N24" s="3"/>
      <c r="O24" s="3"/>
      <c r="P24" s="3"/>
      <c r="R24" s="82"/>
      <c r="S24" s="216" t="s">
        <v>25</v>
      </c>
      <c r="T24" s="217">
        <v>195</v>
      </c>
      <c r="U24" s="217">
        <v>195</v>
      </c>
      <c r="V24" s="217">
        <v>107.25</v>
      </c>
      <c r="W24" s="218"/>
      <c r="X24" s="219">
        <f t="shared" si="6"/>
        <v>0</v>
      </c>
      <c r="Y24" s="220">
        <f t="shared" si="7"/>
      </c>
      <c r="Z24" s="220">
        <f>IF(X24&gt;0,85,0)</f>
        <v>0</v>
      </c>
      <c r="AA24" s="220">
        <f>IF(X24&gt;0,110,0)</f>
        <v>0</v>
      </c>
      <c r="AB24" s="220">
        <f t="shared" si="8"/>
      </c>
      <c r="AC24" s="220">
        <f>IF(X24&gt;0,85,0)</f>
        <v>0</v>
      </c>
      <c r="AD24" s="220">
        <f>IF(X24&gt;0,110,0)</f>
        <v>0</v>
      </c>
      <c r="AE24" s="220">
        <f t="shared" si="9"/>
      </c>
      <c r="AF24" s="220">
        <f>IF(X24&gt;0,46.75,0)</f>
        <v>0</v>
      </c>
      <c r="AG24" s="220">
        <f>IF(X24&gt;0,60.5,0)</f>
        <v>0</v>
      </c>
      <c r="AH24" s="220">
        <f t="shared" si="10"/>
        <v>0</v>
      </c>
      <c r="AI24" s="202"/>
      <c r="AJ24" s="224"/>
      <c r="AK24" s="216" t="s">
        <v>25</v>
      </c>
      <c r="AL24" s="215"/>
      <c r="AM24" s="219">
        <f t="shared" si="11"/>
        <v>0</v>
      </c>
      <c r="AN24" s="220">
        <f t="shared" si="12"/>
      </c>
      <c r="AO24" s="220">
        <f>IF(AM24&gt;0,85,0)</f>
        <v>0</v>
      </c>
      <c r="AP24" s="220">
        <f>IF(AM24&gt;0,110,0)</f>
        <v>0</v>
      </c>
      <c r="AQ24" s="220">
        <f t="shared" si="13"/>
      </c>
      <c r="AR24" s="220">
        <f>IF(AM24&gt;0,85,0)</f>
        <v>0</v>
      </c>
      <c r="AS24" s="220">
        <f>IF(AM24&gt;0,110,0)</f>
        <v>0</v>
      </c>
      <c r="AT24" s="220">
        <f t="shared" si="14"/>
      </c>
      <c r="AU24" s="220">
        <f>IF(AM24&gt;0,46.75,0)</f>
        <v>0</v>
      </c>
      <c r="AV24" s="220">
        <f>IF(AM24&gt;0,60.5,0)</f>
        <v>0</v>
      </c>
      <c r="AW24" s="220">
        <f t="shared" si="15"/>
        <v>0</v>
      </c>
      <c r="AX24" s="200"/>
      <c r="AY24" s="200"/>
      <c r="AZ24" s="222" t="s">
        <v>138</v>
      </c>
      <c r="BA24" s="211">
        <f t="shared" si="16"/>
        <v>0</v>
      </c>
      <c r="BB24" s="239">
        <f t="shared" si="0"/>
        <v>0</v>
      </c>
      <c r="BC24" s="223">
        <v>0.4</v>
      </c>
      <c r="BD24" s="223">
        <f t="shared" si="17"/>
        <v>0</v>
      </c>
      <c r="BE24" s="223">
        <v>0.6</v>
      </c>
      <c r="BF24" s="223"/>
      <c r="BG24" s="210">
        <f t="shared" si="18"/>
        <v>0</v>
      </c>
      <c r="BH24" s="239">
        <f t="shared" si="1"/>
        <v>0</v>
      </c>
      <c r="BI24" s="223">
        <v>0.4</v>
      </c>
      <c r="BJ24" s="223">
        <f t="shared" si="19"/>
        <v>0</v>
      </c>
      <c r="BK24" s="223">
        <v>0.6</v>
      </c>
      <c r="BL24" s="200"/>
      <c r="BM24" s="200"/>
      <c r="BN24" s="222" t="s">
        <v>138</v>
      </c>
      <c r="BO24" s="211">
        <f t="shared" si="20"/>
        <v>0</v>
      </c>
      <c r="BP24" s="239">
        <f t="shared" si="2"/>
        <v>0</v>
      </c>
      <c r="BQ24" s="223">
        <v>0.4</v>
      </c>
      <c r="BR24" s="223">
        <f t="shared" si="21"/>
        <v>0</v>
      </c>
      <c r="BS24" s="223">
        <v>0.6</v>
      </c>
      <c r="BT24" s="223"/>
      <c r="BU24" s="210">
        <f t="shared" si="22"/>
        <v>0</v>
      </c>
      <c r="BV24" s="239">
        <f t="shared" si="3"/>
        <v>0</v>
      </c>
      <c r="BW24" s="223">
        <v>0.4</v>
      </c>
      <c r="BX24" s="223">
        <f t="shared" si="23"/>
        <v>0</v>
      </c>
      <c r="BY24" s="223">
        <v>0.6</v>
      </c>
      <c r="BZ24" s="200"/>
      <c r="CA24" s="200"/>
      <c r="CB24" s="200"/>
      <c r="CC24" s="200"/>
      <c r="CD24" s="449"/>
      <c r="CE24" s="200"/>
      <c r="CF24" s="200"/>
      <c r="CG24" s="200"/>
      <c r="CH24" s="200"/>
      <c r="CI24" s="200"/>
      <c r="CJ24" s="200"/>
      <c r="CK24" s="200"/>
      <c r="CL24" s="200"/>
      <c r="CM24" s="200"/>
    </row>
    <row r="25" spans="1:91" ht="13.5" thickBot="1">
      <c r="A25" s="272">
        <f t="shared" si="4"/>
        <v>0</v>
      </c>
      <c r="B25" s="272">
        <f t="shared" si="5"/>
        <v>0</v>
      </c>
      <c r="D25" s="3"/>
      <c r="E25" s="294"/>
      <c r="F25" s="234" t="s">
        <v>26</v>
      </c>
      <c r="G25" s="42"/>
      <c r="H25" s="3"/>
      <c r="I25" s="294"/>
      <c r="J25" s="234" t="s">
        <v>26</v>
      </c>
      <c r="K25" s="42"/>
      <c r="L25" s="3"/>
      <c r="M25" s="3"/>
      <c r="N25" s="3"/>
      <c r="O25" s="3"/>
      <c r="P25" s="3"/>
      <c r="R25" s="82"/>
      <c r="S25" s="216" t="s">
        <v>26</v>
      </c>
      <c r="T25" s="217">
        <v>195</v>
      </c>
      <c r="U25" s="217">
        <v>195</v>
      </c>
      <c r="V25" s="217">
        <v>107.25</v>
      </c>
      <c r="W25" s="218"/>
      <c r="X25" s="219">
        <f t="shared" si="6"/>
        <v>0</v>
      </c>
      <c r="Y25" s="220">
        <f t="shared" si="7"/>
      </c>
      <c r="Z25" s="220">
        <f>IF(X25&gt;0,85,0)</f>
        <v>0</v>
      </c>
      <c r="AA25" s="220">
        <f>IF(X25&gt;0,110,0)</f>
        <v>0</v>
      </c>
      <c r="AB25" s="220">
        <f t="shared" si="8"/>
      </c>
      <c r="AC25" s="220">
        <f>IF(X25&gt;0,85,0)</f>
        <v>0</v>
      </c>
      <c r="AD25" s="220">
        <f>IF(X25&gt;0,110,0)</f>
        <v>0</v>
      </c>
      <c r="AE25" s="220">
        <f t="shared" si="9"/>
      </c>
      <c r="AF25" s="220">
        <f>IF(X25&gt;0,46.75,0)</f>
        <v>0</v>
      </c>
      <c r="AG25" s="220">
        <f>IF(X25&gt;0,60.5,0)</f>
        <v>0</v>
      </c>
      <c r="AH25" s="220">
        <f t="shared" si="10"/>
        <v>0</v>
      </c>
      <c r="AI25" s="202"/>
      <c r="AJ25" s="224"/>
      <c r="AK25" s="216" t="s">
        <v>26</v>
      </c>
      <c r="AL25" s="215"/>
      <c r="AM25" s="219">
        <f t="shared" si="11"/>
        <v>0</v>
      </c>
      <c r="AN25" s="220">
        <f t="shared" si="12"/>
      </c>
      <c r="AO25" s="220">
        <f>IF(AM25&gt;0,85,0)</f>
        <v>0</v>
      </c>
      <c r="AP25" s="220">
        <f>IF(AM25&gt;0,110,0)</f>
        <v>0</v>
      </c>
      <c r="AQ25" s="220">
        <f t="shared" si="13"/>
      </c>
      <c r="AR25" s="220">
        <f>IF(AM25&gt;0,85,0)</f>
        <v>0</v>
      </c>
      <c r="AS25" s="220">
        <f>IF(AM25&gt;0,110,0)</f>
        <v>0</v>
      </c>
      <c r="AT25" s="220">
        <f t="shared" si="14"/>
      </c>
      <c r="AU25" s="220">
        <f>IF(AM25&gt;0,46.75,0)</f>
        <v>0</v>
      </c>
      <c r="AV25" s="220">
        <f>IF(AM25&gt;0,60.5,0)</f>
        <v>0</v>
      </c>
      <c r="AW25" s="220">
        <f t="shared" si="15"/>
        <v>0</v>
      </c>
      <c r="AX25" s="200"/>
      <c r="AY25" s="200"/>
      <c r="AZ25" s="222" t="s">
        <v>139</v>
      </c>
      <c r="BA25" s="211">
        <f t="shared" si="16"/>
        <v>0</v>
      </c>
      <c r="BB25" s="239">
        <f t="shared" si="0"/>
        <v>0</v>
      </c>
      <c r="BC25" s="223">
        <v>0.2</v>
      </c>
      <c r="BD25" s="223">
        <f t="shared" si="17"/>
        <v>0</v>
      </c>
      <c r="BE25" s="223">
        <v>0</v>
      </c>
      <c r="BF25" s="223"/>
      <c r="BG25" s="210">
        <f t="shared" si="18"/>
        <v>0</v>
      </c>
      <c r="BH25" s="239">
        <f t="shared" si="1"/>
        <v>0</v>
      </c>
      <c r="BI25" s="223">
        <v>0.4</v>
      </c>
      <c r="BJ25" s="223">
        <f t="shared" si="19"/>
        <v>0</v>
      </c>
      <c r="BK25" s="225">
        <v>0</v>
      </c>
      <c r="BL25" s="200"/>
      <c r="BM25" s="200"/>
      <c r="BN25" s="222" t="s">
        <v>139</v>
      </c>
      <c r="BO25" s="211">
        <f t="shared" si="20"/>
        <v>0</v>
      </c>
      <c r="BP25" s="239">
        <f t="shared" si="2"/>
        <v>0</v>
      </c>
      <c r="BQ25" s="223">
        <v>0.2</v>
      </c>
      <c r="BR25" s="223">
        <f t="shared" si="21"/>
        <v>0</v>
      </c>
      <c r="BS25" s="223">
        <v>0</v>
      </c>
      <c r="BT25" s="223"/>
      <c r="BU25" s="210">
        <f t="shared" si="22"/>
        <v>0</v>
      </c>
      <c r="BV25" s="239">
        <f t="shared" si="3"/>
        <v>0</v>
      </c>
      <c r="BW25" s="223">
        <v>0.4</v>
      </c>
      <c r="BX25" s="223">
        <f t="shared" si="23"/>
        <v>0</v>
      </c>
      <c r="BY25" s="225">
        <v>0</v>
      </c>
      <c r="BZ25" s="200"/>
      <c r="CA25" s="200"/>
      <c r="CB25" s="200"/>
      <c r="CC25" s="200"/>
      <c r="CD25" s="449"/>
      <c r="CE25" s="200"/>
      <c r="CF25" s="200"/>
      <c r="CG25" s="200"/>
      <c r="CH25" s="200"/>
      <c r="CI25" s="200"/>
      <c r="CJ25" s="200"/>
      <c r="CK25" s="200"/>
      <c r="CL25" s="200"/>
      <c r="CM25" s="200"/>
    </row>
    <row r="26" spans="1:82" s="335" customFormat="1" ht="13.5" thickBot="1">
      <c r="A26" s="334">
        <f t="shared" si="4"/>
        <v>0</v>
      </c>
      <c r="B26" s="334">
        <f t="shared" si="5"/>
        <v>0</v>
      </c>
      <c r="D26" s="336"/>
      <c r="E26" s="294"/>
      <c r="F26" s="234" t="s">
        <v>27</v>
      </c>
      <c r="G26" s="337"/>
      <c r="H26" s="336"/>
      <c r="I26" s="294"/>
      <c r="J26" s="234" t="s">
        <v>27</v>
      </c>
      <c r="K26" s="337"/>
      <c r="L26" s="336"/>
      <c r="M26" s="336"/>
      <c r="N26" s="336"/>
      <c r="O26" s="336"/>
      <c r="P26" s="336"/>
      <c r="R26" s="338"/>
      <c r="S26" s="339" t="s">
        <v>27</v>
      </c>
      <c r="T26" s="340">
        <v>31</v>
      </c>
      <c r="U26" s="340">
        <v>31</v>
      </c>
      <c r="V26" s="340">
        <v>18.6</v>
      </c>
      <c r="W26" s="341"/>
      <c r="X26" s="342">
        <f t="shared" si="6"/>
        <v>0</v>
      </c>
      <c r="Y26" s="343">
        <f t="shared" si="7"/>
      </c>
      <c r="Z26" s="343">
        <f>IF(X26&gt;0,24,0)</f>
        <v>0</v>
      </c>
      <c r="AA26" s="343">
        <f>IF(X26&gt;0,7,0)</f>
        <v>0</v>
      </c>
      <c r="AB26" s="343">
        <f t="shared" si="8"/>
      </c>
      <c r="AC26" s="343">
        <f>IF(X26&gt;0,24,0)</f>
        <v>0</v>
      </c>
      <c r="AD26" s="343">
        <f>IF(X26&gt;0,7,0)</f>
        <v>0</v>
      </c>
      <c r="AE26" s="343">
        <f t="shared" si="9"/>
      </c>
      <c r="AF26" s="343">
        <f>IF(X26&gt;0,14.4,0)</f>
        <v>0</v>
      </c>
      <c r="AG26" s="343">
        <f>IF(X26&gt;0,4.2,0)</f>
        <v>0</v>
      </c>
      <c r="AH26" s="343">
        <f t="shared" si="10"/>
        <v>0</v>
      </c>
      <c r="AI26" s="344"/>
      <c r="AJ26" s="338"/>
      <c r="AK26" s="339" t="s">
        <v>27</v>
      </c>
      <c r="AL26" s="336"/>
      <c r="AM26" s="342">
        <f t="shared" si="11"/>
        <v>0</v>
      </c>
      <c r="AN26" s="343">
        <f t="shared" si="12"/>
      </c>
      <c r="AO26" s="343">
        <f>IF(AM26&gt;0,24,0)</f>
        <v>0</v>
      </c>
      <c r="AP26" s="343">
        <f>IF(AM26&gt;0,7,0)</f>
        <v>0</v>
      </c>
      <c r="AQ26" s="343">
        <f t="shared" si="13"/>
      </c>
      <c r="AR26" s="343">
        <f>IF(AM26&gt;0,24,0)</f>
        <v>0</v>
      </c>
      <c r="AS26" s="343">
        <f>IF(AM26&gt;0,7,0)</f>
        <v>0</v>
      </c>
      <c r="AT26" s="343">
        <f t="shared" si="14"/>
      </c>
      <c r="AU26" s="343">
        <f>IF(AM26&gt;0,14.4,0)</f>
        <v>0</v>
      </c>
      <c r="AV26" s="343">
        <f>IF(AM26&gt;0,4.2,0)</f>
        <v>0</v>
      </c>
      <c r="AW26" s="343">
        <f t="shared" si="15"/>
        <v>0</v>
      </c>
      <c r="AZ26" s="345" t="s">
        <v>125</v>
      </c>
      <c r="BA26" s="346">
        <f t="shared" si="16"/>
        <v>0</v>
      </c>
      <c r="BB26" s="347">
        <f t="shared" si="0"/>
        <v>0</v>
      </c>
      <c r="BC26" s="348">
        <v>0.1</v>
      </c>
      <c r="BD26" s="348">
        <f t="shared" si="17"/>
        <v>0</v>
      </c>
      <c r="BE26" s="348">
        <v>0</v>
      </c>
      <c r="BF26" s="348"/>
      <c r="BG26" s="349">
        <f t="shared" si="18"/>
        <v>0</v>
      </c>
      <c r="BH26" s="347">
        <f t="shared" si="1"/>
        <v>0</v>
      </c>
      <c r="BI26" s="348">
        <v>0.15</v>
      </c>
      <c r="BJ26" s="348">
        <f t="shared" si="19"/>
        <v>0</v>
      </c>
      <c r="BK26" s="350">
        <v>0</v>
      </c>
      <c r="BN26" s="345" t="s">
        <v>125</v>
      </c>
      <c r="BO26" s="346">
        <f t="shared" si="20"/>
        <v>0</v>
      </c>
      <c r="BP26" s="347">
        <f t="shared" si="2"/>
        <v>0</v>
      </c>
      <c r="BQ26" s="348">
        <v>0.1</v>
      </c>
      <c r="BR26" s="348">
        <f t="shared" si="21"/>
        <v>0</v>
      </c>
      <c r="BS26" s="348">
        <v>0</v>
      </c>
      <c r="BT26" s="348"/>
      <c r="BU26" s="349">
        <f t="shared" si="22"/>
        <v>0</v>
      </c>
      <c r="BV26" s="347">
        <f t="shared" si="3"/>
        <v>0</v>
      </c>
      <c r="BW26" s="348">
        <v>0.15</v>
      </c>
      <c r="BX26" s="348">
        <f t="shared" si="23"/>
        <v>0</v>
      </c>
      <c r="BY26" s="350">
        <v>0</v>
      </c>
      <c r="CD26" s="449"/>
    </row>
    <row r="27" spans="1:82" s="335" customFormat="1" ht="13.5" thickBot="1">
      <c r="A27" s="334">
        <f t="shared" si="4"/>
        <v>0</v>
      </c>
      <c r="B27" s="334">
        <f t="shared" si="5"/>
        <v>0</v>
      </c>
      <c r="D27" s="336"/>
      <c r="E27" s="294"/>
      <c r="F27" s="234" t="s">
        <v>28</v>
      </c>
      <c r="G27" s="337"/>
      <c r="H27" s="336"/>
      <c r="I27" s="294"/>
      <c r="J27" s="234" t="s">
        <v>28</v>
      </c>
      <c r="K27" s="337"/>
      <c r="L27" s="336"/>
      <c r="M27" s="336"/>
      <c r="N27" s="336"/>
      <c r="O27" s="336"/>
      <c r="P27" s="336"/>
      <c r="R27" s="338"/>
      <c r="S27" s="339" t="s">
        <v>28</v>
      </c>
      <c r="T27" s="340">
        <v>31</v>
      </c>
      <c r="U27" s="340">
        <v>31</v>
      </c>
      <c r="V27" s="340">
        <v>18.6</v>
      </c>
      <c r="W27" s="341"/>
      <c r="X27" s="342">
        <f t="shared" si="6"/>
        <v>0</v>
      </c>
      <c r="Y27" s="343">
        <f t="shared" si="7"/>
      </c>
      <c r="Z27" s="343">
        <f>IF(X27&gt;0,24,0)</f>
        <v>0</v>
      </c>
      <c r="AA27" s="343">
        <f>IF(X27&gt;0,7,0)</f>
        <v>0</v>
      </c>
      <c r="AB27" s="343">
        <f t="shared" si="8"/>
      </c>
      <c r="AC27" s="343">
        <f>IF(X27&gt;0,24,0)</f>
        <v>0</v>
      </c>
      <c r="AD27" s="343">
        <f>IF(X27&gt;0,7,0)</f>
        <v>0</v>
      </c>
      <c r="AE27" s="343">
        <f t="shared" si="9"/>
      </c>
      <c r="AF27" s="343">
        <f>IF(X27&gt;0,14.4,0)</f>
        <v>0</v>
      </c>
      <c r="AG27" s="343">
        <f>IF(X27&gt;0,4.2,0)</f>
        <v>0</v>
      </c>
      <c r="AH27" s="343">
        <f t="shared" si="10"/>
        <v>0</v>
      </c>
      <c r="AI27" s="344"/>
      <c r="AJ27" s="338"/>
      <c r="AK27" s="339" t="s">
        <v>28</v>
      </c>
      <c r="AL27" s="336"/>
      <c r="AM27" s="342">
        <f t="shared" si="11"/>
        <v>0</v>
      </c>
      <c r="AN27" s="343">
        <f t="shared" si="12"/>
      </c>
      <c r="AO27" s="343">
        <f>IF(AM27&gt;0,24,0)</f>
        <v>0</v>
      </c>
      <c r="AP27" s="343">
        <f>IF(AM27&gt;0,7,0)</f>
        <v>0</v>
      </c>
      <c r="AQ27" s="343">
        <f t="shared" si="13"/>
      </c>
      <c r="AR27" s="343">
        <f>IF(AM27&gt;0,24,0)</f>
        <v>0</v>
      </c>
      <c r="AS27" s="343">
        <f>IF(AM27&gt;0,7,0)</f>
        <v>0</v>
      </c>
      <c r="AT27" s="343">
        <f t="shared" si="14"/>
      </c>
      <c r="AU27" s="343">
        <f>IF(AM27&gt;0,14.4,0)</f>
        <v>0</v>
      </c>
      <c r="AV27" s="343">
        <f>IF(AM27&gt;0,4.2,0)</f>
        <v>0</v>
      </c>
      <c r="AW27" s="343">
        <f t="shared" si="15"/>
        <v>0</v>
      </c>
      <c r="AZ27" s="345" t="s">
        <v>126</v>
      </c>
      <c r="BA27" s="346">
        <f t="shared" si="16"/>
        <v>0</v>
      </c>
      <c r="BB27" s="347">
        <f t="shared" si="0"/>
        <v>0</v>
      </c>
      <c r="BC27" s="348">
        <v>0.1</v>
      </c>
      <c r="BD27" s="348">
        <f t="shared" si="17"/>
        <v>0</v>
      </c>
      <c r="BE27" s="348">
        <v>0</v>
      </c>
      <c r="BF27" s="348"/>
      <c r="BG27" s="349">
        <f t="shared" si="18"/>
        <v>0</v>
      </c>
      <c r="BH27" s="347">
        <f t="shared" si="1"/>
        <v>0</v>
      </c>
      <c r="BI27" s="348">
        <v>0.15</v>
      </c>
      <c r="BJ27" s="348">
        <f t="shared" si="19"/>
        <v>0</v>
      </c>
      <c r="BK27" s="350">
        <v>0</v>
      </c>
      <c r="BN27" s="345" t="s">
        <v>126</v>
      </c>
      <c r="BO27" s="346">
        <f t="shared" si="20"/>
        <v>0</v>
      </c>
      <c r="BP27" s="347">
        <f t="shared" si="2"/>
        <v>0</v>
      </c>
      <c r="BQ27" s="348">
        <v>0.1</v>
      </c>
      <c r="BR27" s="348">
        <f t="shared" si="21"/>
        <v>0</v>
      </c>
      <c r="BS27" s="348">
        <v>0</v>
      </c>
      <c r="BT27" s="348"/>
      <c r="BU27" s="349">
        <f t="shared" si="22"/>
        <v>0</v>
      </c>
      <c r="BV27" s="347">
        <f t="shared" si="3"/>
        <v>0</v>
      </c>
      <c r="BW27" s="348">
        <v>0.15</v>
      </c>
      <c r="BX27" s="348">
        <f t="shared" si="23"/>
        <v>0</v>
      </c>
      <c r="BY27" s="350">
        <v>0</v>
      </c>
      <c r="CD27" s="449"/>
    </row>
    <row r="28" spans="1:82" s="335" customFormat="1" ht="13.5" customHeight="1" thickBot="1">
      <c r="A28" s="334">
        <f t="shared" si="4"/>
        <v>0</v>
      </c>
      <c r="B28" s="334">
        <f t="shared" si="5"/>
        <v>0</v>
      </c>
      <c r="D28" s="336"/>
      <c r="E28" s="294"/>
      <c r="F28" s="234" t="s">
        <v>29</v>
      </c>
      <c r="G28" s="337"/>
      <c r="H28" s="336"/>
      <c r="I28" s="294"/>
      <c r="J28" s="234" t="s">
        <v>29</v>
      </c>
      <c r="K28" s="336"/>
      <c r="L28" s="336"/>
      <c r="M28" s="336"/>
      <c r="N28" s="336"/>
      <c r="O28" s="336"/>
      <c r="P28" s="336"/>
      <c r="R28" s="338"/>
      <c r="S28" s="339" t="s">
        <v>29</v>
      </c>
      <c r="T28" s="340">
        <v>31</v>
      </c>
      <c r="U28" s="340">
        <v>31</v>
      </c>
      <c r="V28" s="340">
        <v>18.6</v>
      </c>
      <c r="W28" s="341"/>
      <c r="X28" s="342">
        <f t="shared" si="6"/>
        <v>0</v>
      </c>
      <c r="Y28" s="343">
        <f t="shared" si="7"/>
      </c>
      <c r="Z28" s="343">
        <f>IF(X28&gt;0,24,0)</f>
        <v>0</v>
      </c>
      <c r="AA28" s="343">
        <f>IF(X28&gt;0,7,0)</f>
        <v>0</v>
      </c>
      <c r="AB28" s="343">
        <f t="shared" si="8"/>
      </c>
      <c r="AC28" s="343">
        <f>IF(X28&gt;0,24,0)</f>
        <v>0</v>
      </c>
      <c r="AD28" s="343">
        <f>IF(X28&gt;0,7,0)</f>
        <v>0</v>
      </c>
      <c r="AE28" s="343">
        <f t="shared" si="9"/>
      </c>
      <c r="AF28" s="343">
        <f>IF(X28&gt;0,14.4,0)</f>
        <v>0</v>
      </c>
      <c r="AG28" s="343">
        <f>IF(X28&gt;0,4.2,0)</f>
        <v>0</v>
      </c>
      <c r="AH28" s="343">
        <f t="shared" si="10"/>
        <v>0</v>
      </c>
      <c r="AI28" s="344"/>
      <c r="AJ28" s="338"/>
      <c r="AK28" s="339" t="s">
        <v>29</v>
      </c>
      <c r="AL28" s="336"/>
      <c r="AM28" s="342">
        <f t="shared" si="11"/>
        <v>0</v>
      </c>
      <c r="AN28" s="343">
        <f t="shared" si="12"/>
      </c>
      <c r="AO28" s="343">
        <f>IF(AM28&gt;0,24,0)</f>
        <v>0</v>
      </c>
      <c r="AP28" s="343">
        <f>IF(AM28&gt;0,7,0)</f>
        <v>0</v>
      </c>
      <c r="AQ28" s="343">
        <f t="shared" si="13"/>
      </c>
      <c r="AR28" s="343">
        <f>IF(AM28&gt;0,24,0)</f>
        <v>0</v>
      </c>
      <c r="AS28" s="343">
        <f>IF(AM28&gt;0,7,0)</f>
        <v>0</v>
      </c>
      <c r="AT28" s="343">
        <f t="shared" si="14"/>
      </c>
      <c r="AU28" s="343">
        <f>IF(AM28&gt;0,14.4,0)</f>
        <v>0</v>
      </c>
      <c r="AV28" s="343">
        <f>IF(AM28&gt;0,4.2,0)</f>
        <v>0</v>
      </c>
      <c r="AW28" s="343">
        <f t="shared" si="15"/>
        <v>0</v>
      </c>
      <c r="AZ28" s="345" t="s">
        <v>127</v>
      </c>
      <c r="BA28" s="346">
        <f t="shared" si="16"/>
        <v>0</v>
      </c>
      <c r="BB28" s="347">
        <f t="shared" si="0"/>
        <v>0</v>
      </c>
      <c r="BC28" s="348" t="s">
        <v>61</v>
      </c>
      <c r="BD28" s="348">
        <f t="shared" si="17"/>
        <v>0</v>
      </c>
      <c r="BE28" s="348">
        <v>0</v>
      </c>
      <c r="BF28" s="348"/>
      <c r="BG28" s="349">
        <f t="shared" si="18"/>
        <v>0</v>
      </c>
      <c r="BH28" s="347">
        <f t="shared" si="1"/>
        <v>0</v>
      </c>
      <c r="BI28" s="348">
        <v>0.15</v>
      </c>
      <c r="BJ28" s="348">
        <f t="shared" si="19"/>
        <v>0</v>
      </c>
      <c r="BK28" s="350">
        <v>0</v>
      </c>
      <c r="BN28" s="345" t="s">
        <v>127</v>
      </c>
      <c r="BO28" s="346">
        <f t="shared" si="20"/>
        <v>0</v>
      </c>
      <c r="BP28" s="347">
        <f t="shared" si="2"/>
        <v>0</v>
      </c>
      <c r="BQ28" s="348" t="s">
        <v>61</v>
      </c>
      <c r="BR28" s="348">
        <f t="shared" si="21"/>
        <v>0</v>
      </c>
      <c r="BS28" s="348">
        <v>0</v>
      </c>
      <c r="BT28" s="348"/>
      <c r="BU28" s="349">
        <f t="shared" si="22"/>
        <v>0</v>
      </c>
      <c r="BV28" s="347">
        <f t="shared" si="3"/>
        <v>0</v>
      </c>
      <c r="BW28" s="348">
        <v>0.15</v>
      </c>
      <c r="BX28" s="348">
        <f t="shared" si="23"/>
        <v>0</v>
      </c>
      <c r="BY28" s="350">
        <v>0</v>
      </c>
      <c r="CD28" s="449"/>
    </row>
    <row r="29" spans="1:82" s="335" customFormat="1" ht="13.5" thickBot="1">
      <c r="A29" s="334">
        <f t="shared" si="4"/>
        <v>0</v>
      </c>
      <c r="B29" s="334">
        <f t="shared" si="5"/>
        <v>0</v>
      </c>
      <c r="D29" s="336"/>
      <c r="E29" s="294"/>
      <c r="F29" s="234" t="s">
        <v>30</v>
      </c>
      <c r="G29" s="337"/>
      <c r="H29" s="336"/>
      <c r="I29" s="294"/>
      <c r="J29" s="234" t="s">
        <v>30</v>
      </c>
      <c r="K29" s="337"/>
      <c r="L29" s="336"/>
      <c r="M29" s="336"/>
      <c r="N29" s="336"/>
      <c r="O29" s="336"/>
      <c r="P29" s="336"/>
      <c r="R29" s="338"/>
      <c r="S29" s="339" t="s">
        <v>30</v>
      </c>
      <c r="T29" s="340">
        <v>31</v>
      </c>
      <c r="U29" s="340">
        <v>31</v>
      </c>
      <c r="V29" s="340">
        <v>18.6</v>
      </c>
      <c r="W29" s="341"/>
      <c r="X29" s="342">
        <f t="shared" si="6"/>
        <v>0</v>
      </c>
      <c r="Y29" s="343">
        <f t="shared" si="7"/>
      </c>
      <c r="Z29" s="343">
        <f>IF(X29&gt;0,24,0)</f>
        <v>0</v>
      </c>
      <c r="AA29" s="343">
        <f>IF(X29&gt;0,7,0)</f>
        <v>0</v>
      </c>
      <c r="AB29" s="343">
        <f t="shared" si="8"/>
      </c>
      <c r="AC29" s="343">
        <f>IF(X29&gt;0,24,0)</f>
        <v>0</v>
      </c>
      <c r="AD29" s="343">
        <f>IF(X29&gt;0,7,0)</f>
        <v>0</v>
      </c>
      <c r="AE29" s="343">
        <f t="shared" si="9"/>
      </c>
      <c r="AF29" s="343">
        <f>IF(X29&gt;0,14.4,0)</f>
        <v>0</v>
      </c>
      <c r="AG29" s="343">
        <f>IF(X29&gt;0,4.2,0)</f>
        <v>0</v>
      </c>
      <c r="AH29" s="343">
        <f t="shared" si="10"/>
        <v>0</v>
      </c>
      <c r="AI29" s="344"/>
      <c r="AJ29" s="338"/>
      <c r="AK29" s="339" t="s">
        <v>30</v>
      </c>
      <c r="AL29" s="336"/>
      <c r="AM29" s="342">
        <f t="shared" si="11"/>
        <v>0</v>
      </c>
      <c r="AN29" s="343">
        <f t="shared" si="12"/>
      </c>
      <c r="AO29" s="343">
        <f>IF(AM29&gt;0,24,0)</f>
        <v>0</v>
      </c>
      <c r="AP29" s="343">
        <f>IF(AM29&gt;0,7,0)</f>
        <v>0</v>
      </c>
      <c r="AQ29" s="343">
        <f t="shared" si="13"/>
      </c>
      <c r="AR29" s="343">
        <f>IF(AM29&gt;0,24,0)</f>
        <v>0</v>
      </c>
      <c r="AS29" s="343">
        <f>IF(AM29&gt;0,7,0)</f>
        <v>0</v>
      </c>
      <c r="AT29" s="343">
        <f t="shared" si="14"/>
      </c>
      <c r="AU29" s="343">
        <f>IF(AM29&gt;0,14.4,0)</f>
        <v>0</v>
      </c>
      <c r="AV29" s="343">
        <f>IF(AM29&gt;0,4.2,0)</f>
        <v>0</v>
      </c>
      <c r="AW29" s="343">
        <f t="shared" si="15"/>
        <v>0</v>
      </c>
      <c r="AZ29" s="345" t="s">
        <v>128</v>
      </c>
      <c r="BA29" s="346">
        <f t="shared" si="16"/>
        <v>0</v>
      </c>
      <c r="BB29" s="347">
        <f t="shared" si="0"/>
        <v>0</v>
      </c>
      <c r="BC29" s="348">
        <v>0</v>
      </c>
      <c r="BD29" s="348">
        <f t="shared" si="17"/>
        <v>0</v>
      </c>
      <c r="BE29" s="348">
        <v>0</v>
      </c>
      <c r="BF29" s="348"/>
      <c r="BG29" s="349">
        <f t="shared" si="18"/>
        <v>0</v>
      </c>
      <c r="BH29" s="347">
        <f t="shared" si="1"/>
        <v>0</v>
      </c>
      <c r="BI29" s="350">
        <v>0</v>
      </c>
      <c r="BJ29" s="348">
        <f t="shared" si="19"/>
        <v>0</v>
      </c>
      <c r="BK29" s="350">
        <v>0</v>
      </c>
      <c r="BN29" s="345" t="s">
        <v>128</v>
      </c>
      <c r="BO29" s="346">
        <f t="shared" si="20"/>
        <v>0</v>
      </c>
      <c r="BP29" s="347">
        <f t="shared" si="2"/>
        <v>0</v>
      </c>
      <c r="BQ29" s="348">
        <v>0</v>
      </c>
      <c r="BR29" s="348">
        <f t="shared" si="21"/>
        <v>0</v>
      </c>
      <c r="BS29" s="348">
        <v>0</v>
      </c>
      <c r="BT29" s="348"/>
      <c r="BU29" s="349">
        <f t="shared" si="22"/>
        <v>0</v>
      </c>
      <c r="BV29" s="347">
        <f t="shared" si="3"/>
        <v>0</v>
      </c>
      <c r="BW29" s="350">
        <v>0</v>
      </c>
      <c r="BX29" s="348">
        <f t="shared" si="23"/>
        <v>0</v>
      </c>
      <c r="BY29" s="350">
        <v>0</v>
      </c>
      <c r="CD29" s="449"/>
    </row>
    <row r="30" spans="1:82" s="200" customFormat="1" ht="13.5" thickBot="1">
      <c r="A30" s="283">
        <f t="shared" si="4"/>
        <v>0</v>
      </c>
      <c r="B30" s="283">
        <f t="shared" si="5"/>
        <v>0</v>
      </c>
      <c r="D30" s="215"/>
      <c r="E30" s="294"/>
      <c r="F30" s="234" t="s">
        <v>31</v>
      </c>
      <c r="G30" s="316"/>
      <c r="H30" s="215"/>
      <c r="I30" s="294"/>
      <c r="J30" s="234" t="s">
        <v>31</v>
      </c>
      <c r="K30" s="316"/>
      <c r="L30" s="215"/>
      <c r="M30" s="215"/>
      <c r="N30" s="215"/>
      <c r="O30" s="215"/>
      <c r="P30" s="215"/>
      <c r="R30" s="224"/>
      <c r="S30" s="216" t="s">
        <v>31</v>
      </c>
      <c r="T30" s="217">
        <v>195</v>
      </c>
      <c r="U30" s="217">
        <v>195</v>
      </c>
      <c r="V30" s="217">
        <v>107.25</v>
      </c>
      <c r="W30" s="218"/>
      <c r="X30" s="219">
        <f t="shared" si="6"/>
        <v>0</v>
      </c>
      <c r="Y30" s="220">
        <f t="shared" si="7"/>
      </c>
      <c r="Z30" s="220">
        <f aca="true" t="shared" si="24" ref="Z30:Z36">IF(X30&gt;0,85,0)</f>
        <v>0</v>
      </c>
      <c r="AA30" s="220">
        <f aca="true" t="shared" si="25" ref="AA30:AA36">IF(X30&gt;0,110,0)</f>
        <v>0</v>
      </c>
      <c r="AB30" s="220">
        <f t="shared" si="8"/>
      </c>
      <c r="AC30" s="220">
        <f aca="true" t="shared" si="26" ref="AC30:AC36">IF(X30&gt;0,85,0)</f>
        <v>0</v>
      </c>
      <c r="AD30" s="220">
        <f aca="true" t="shared" si="27" ref="AD30:AD36">IF(X30&gt;0,110,0)</f>
        <v>0</v>
      </c>
      <c r="AE30" s="220">
        <f t="shared" si="9"/>
      </c>
      <c r="AF30" s="220">
        <f aca="true" t="shared" si="28" ref="AF30:AF36">IF(X30&gt;0,46.75,0)</f>
        <v>0</v>
      </c>
      <c r="AG30" s="220">
        <f aca="true" t="shared" si="29" ref="AG30:AG36">IF(X30&gt;0,60.5,0)</f>
        <v>0</v>
      </c>
      <c r="AH30" s="220">
        <f t="shared" si="10"/>
        <v>0</v>
      </c>
      <c r="AI30" s="202"/>
      <c r="AJ30" s="224"/>
      <c r="AK30" s="216" t="s">
        <v>31</v>
      </c>
      <c r="AL30" s="215"/>
      <c r="AM30" s="219">
        <f t="shared" si="11"/>
        <v>0</v>
      </c>
      <c r="AN30" s="220">
        <f t="shared" si="12"/>
      </c>
      <c r="AO30" s="220">
        <f aca="true" t="shared" si="30" ref="AO30:AO36">IF(AM30&gt;0,85,0)</f>
        <v>0</v>
      </c>
      <c r="AP30" s="220">
        <f aca="true" t="shared" si="31" ref="AP30:AP36">IF(AM30&gt;0,110,0)</f>
        <v>0</v>
      </c>
      <c r="AQ30" s="220">
        <f t="shared" si="13"/>
      </c>
      <c r="AR30" s="220">
        <f aca="true" t="shared" si="32" ref="AR30:AR36">IF(AM30&gt;0,85,0)</f>
        <v>0</v>
      </c>
      <c r="AS30" s="220">
        <f aca="true" t="shared" si="33" ref="AS30:AS36">IF(AM30&gt;0,110,0)</f>
        <v>0</v>
      </c>
      <c r="AT30" s="220">
        <f t="shared" si="14"/>
      </c>
      <c r="AU30" s="220">
        <f aca="true" t="shared" si="34" ref="AU30:AU36">IF(AM30&gt;0,46.75,0)</f>
        <v>0</v>
      </c>
      <c r="AV30" s="220">
        <f aca="true" t="shared" si="35" ref="AV30:AV36">IF(AM30&gt;0,60.5,0)</f>
        <v>0</v>
      </c>
      <c r="AW30" s="220">
        <f t="shared" si="15"/>
        <v>0</v>
      </c>
      <c r="AZ30" s="222" t="s">
        <v>129</v>
      </c>
      <c r="BA30" s="211">
        <f t="shared" si="16"/>
        <v>0</v>
      </c>
      <c r="BB30" s="239">
        <f t="shared" si="0"/>
        <v>0</v>
      </c>
      <c r="BC30" s="223">
        <v>0.4</v>
      </c>
      <c r="BD30" s="223">
        <f t="shared" si="17"/>
        <v>0</v>
      </c>
      <c r="BE30" s="223">
        <v>0.6</v>
      </c>
      <c r="BF30" s="223"/>
      <c r="BG30" s="210">
        <f t="shared" si="18"/>
        <v>0</v>
      </c>
      <c r="BH30" s="239">
        <f t="shared" si="1"/>
        <v>0</v>
      </c>
      <c r="BI30" s="223">
        <v>0.4</v>
      </c>
      <c r="BJ30" s="223">
        <f t="shared" si="19"/>
        <v>0</v>
      </c>
      <c r="BK30" s="223">
        <v>0.6</v>
      </c>
      <c r="BN30" s="222" t="s">
        <v>129</v>
      </c>
      <c r="BO30" s="211">
        <f t="shared" si="20"/>
        <v>0</v>
      </c>
      <c r="BP30" s="239">
        <f t="shared" si="2"/>
        <v>0</v>
      </c>
      <c r="BQ30" s="223">
        <v>0.4</v>
      </c>
      <c r="BR30" s="223">
        <f t="shared" si="21"/>
        <v>0</v>
      </c>
      <c r="BS30" s="223">
        <v>0.6</v>
      </c>
      <c r="BT30" s="223"/>
      <c r="BU30" s="210">
        <f t="shared" si="22"/>
        <v>0</v>
      </c>
      <c r="BV30" s="239">
        <f t="shared" si="3"/>
        <v>0</v>
      </c>
      <c r="BW30" s="223">
        <v>0.4</v>
      </c>
      <c r="BX30" s="223">
        <f t="shared" si="23"/>
        <v>0</v>
      </c>
      <c r="BY30" s="223">
        <v>0.6</v>
      </c>
      <c r="CD30" s="449"/>
    </row>
    <row r="31" spans="1:82" s="200" customFormat="1" ht="13.5" thickBot="1">
      <c r="A31" s="283">
        <f t="shared" si="4"/>
        <v>0</v>
      </c>
      <c r="B31" s="283">
        <f t="shared" si="5"/>
        <v>0</v>
      </c>
      <c r="D31" s="215"/>
      <c r="E31" s="294"/>
      <c r="F31" s="234" t="s">
        <v>32</v>
      </c>
      <c r="G31" s="316"/>
      <c r="H31" s="215"/>
      <c r="I31" s="294"/>
      <c r="J31" s="234" t="s">
        <v>32</v>
      </c>
      <c r="K31" s="316"/>
      <c r="L31" s="215"/>
      <c r="M31" s="215"/>
      <c r="N31" s="215"/>
      <c r="O31" s="215"/>
      <c r="P31" s="215"/>
      <c r="R31" s="224"/>
      <c r="S31" s="216" t="s">
        <v>32</v>
      </c>
      <c r="T31" s="217">
        <v>195</v>
      </c>
      <c r="U31" s="217">
        <v>195</v>
      </c>
      <c r="V31" s="217">
        <v>107.25</v>
      </c>
      <c r="W31" s="218"/>
      <c r="X31" s="219">
        <f t="shared" si="6"/>
        <v>0</v>
      </c>
      <c r="Y31" s="220">
        <f t="shared" si="7"/>
      </c>
      <c r="Z31" s="220">
        <f t="shared" si="24"/>
        <v>0</v>
      </c>
      <c r="AA31" s="220">
        <f t="shared" si="25"/>
        <v>0</v>
      </c>
      <c r="AB31" s="220">
        <f t="shared" si="8"/>
      </c>
      <c r="AC31" s="220">
        <f t="shared" si="26"/>
        <v>0</v>
      </c>
      <c r="AD31" s="220">
        <f t="shared" si="27"/>
        <v>0</v>
      </c>
      <c r="AE31" s="220">
        <f t="shared" si="9"/>
      </c>
      <c r="AF31" s="220">
        <f t="shared" si="28"/>
        <v>0</v>
      </c>
      <c r="AG31" s="220">
        <f t="shared" si="29"/>
        <v>0</v>
      </c>
      <c r="AH31" s="220">
        <f t="shared" si="10"/>
        <v>0</v>
      </c>
      <c r="AI31" s="202"/>
      <c r="AJ31" s="224"/>
      <c r="AK31" s="216" t="s">
        <v>32</v>
      </c>
      <c r="AL31" s="215"/>
      <c r="AM31" s="219">
        <f t="shared" si="11"/>
        <v>0</v>
      </c>
      <c r="AN31" s="220">
        <f t="shared" si="12"/>
      </c>
      <c r="AO31" s="220">
        <f t="shared" si="30"/>
        <v>0</v>
      </c>
      <c r="AP31" s="220">
        <f t="shared" si="31"/>
        <v>0</v>
      </c>
      <c r="AQ31" s="220">
        <f t="shared" si="13"/>
      </c>
      <c r="AR31" s="220">
        <f t="shared" si="32"/>
        <v>0</v>
      </c>
      <c r="AS31" s="220">
        <f t="shared" si="33"/>
        <v>0</v>
      </c>
      <c r="AT31" s="220">
        <f t="shared" si="14"/>
      </c>
      <c r="AU31" s="220">
        <f t="shared" si="34"/>
        <v>0</v>
      </c>
      <c r="AV31" s="220">
        <f t="shared" si="35"/>
        <v>0</v>
      </c>
      <c r="AW31" s="220">
        <f t="shared" si="15"/>
        <v>0</v>
      </c>
      <c r="AZ31" s="222" t="s">
        <v>130</v>
      </c>
      <c r="BA31" s="211">
        <f t="shared" si="16"/>
        <v>0</v>
      </c>
      <c r="BB31" s="239">
        <f t="shared" si="0"/>
        <v>0</v>
      </c>
      <c r="BC31" s="223">
        <v>0.4</v>
      </c>
      <c r="BD31" s="223">
        <f t="shared" si="17"/>
        <v>0</v>
      </c>
      <c r="BE31" s="223">
        <v>0.6</v>
      </c>
      <c r="BF31" s="223"/>
      <c r="BG31" s="210">
        <f t="shared" si="18"/>
        <v>0</v>
      </c>
      <c r="BH31" s="239">
        <f t="shared" si="1"/>
        <v>0</v>
      </c>
      <c r="BI31" s="223">
        <v>0.4</v>
      </c>
      <c r="BJ31" s="223">
        <f t="shared" si="19"/>
        <v>0</v>
      </c>
      <c r="BK31" s="223">
        <v>0.6</v>
      </c>
      <c r="BN31" s="222" t="s">
        <v>130</v>
      </c>
      <c r="BO31" s="211">
        <f t="shared" si="20"/>
        <v>0</v>
      </c>
      <c r="BP31" s="239">
        <f t="shared" si="2"/>
        <v>0</v>
      </c>
      <c r="BQ31" s="223">
        <v>0.4</v>
      </c>
      <c r="BR31" s="223">
        <f t="shared" si="21"/>
        <v>0</v>
      </c>
      <c r="BS31" s="223">
        <v>0.6</v>
      </c>
      <c r="BT31" s="223"/>
      <c r="BU31" s="210">
        <f t="shared" si="22"/>
        <v>0</v>
      </c>
      <c r="BV31" s="239">
        <f t="shared" si="3"/>
        <v>0</v>
      </c>
      <c r="BW31" s="223">
        <v>0.4</v>
      </c>
      <c r="BX31" s="223">
        <f t="shared" si="23"/>
        <v>0</v>
      </c>
      <c r="BY31" s="223">
        <v>0.6</v>
      </c>
      <c r="CD31" s="449"/>
    </row>
    <row r="32" spans="1:82" s="318" customFormat="1" ht="13.5" thickBot="1">
      <c r="A32" s="317">
        <f t="shared" si="4"/>
        <v>0</v>
      </c>
      <c r="B32" s="317">
        <f t="shared" si="5"/>
        <v>0</v>
      </c>
      <c r="D32" s="319"/>
      <c r="E32" s="294"/>
      <c r="F32" s="234" t="s">
        <v>33</v>
      </c>
      <c r="G32" s="320"/>
      <c r="H32" s="319"/>
      <c r="I32" s="294"/>
      <c r="J32" s="234" t="s">
        <v>33</v>
      </c>
      <c r="K32" s="320"/>
      <c r="L32" s="319"/>
      <c r="M32" s="319"/>
      <c r="N32" s="319"/>
      <c r="O32" s="319"/>
      <c r="P32" s="319"/>
      <c r="R32" s="321"/>
      <c r="S32" s="322" t="s">
        <v>33</v>
      </c>
      <c r="T32" s="323">
        <v>195</v>
      </c>
      <c r="U32" s="323">
        <v>195</v>
      </c>
      <c r="V32" s="323">
        <v>107.25</v>
      </c>
      <c r="W32" s="324"/>
      <c r="X32" s="325">
        <f t="shared" si="6"/>
        <v>0</v>
      </c>
      <c r="Y32" s="326">
        <f t="shared" si="7"/>
      </c>
      <c r="Z32" s="326">
        <f t="shared" si="24"/>
        <v>0</v>
      </c>
      <c r="AA32" s="326">
        <f t="shared" si="25"/>
        <v>0</v>
      </c>
      <c r="AB32" s="326">
        <f t="shared" si="8"/>
      </c>
      <c r="AC32" s="326">
        <f t="shared" si="26"/>
        <v>0</v>
      </c>
      <c r="AD32" s="326">
        <f t="shared" si="27"/>
        <v>0</v>
      </c>
      <c r="AE32" s="326">
        <f t="shared" si="9"/>
      </c>
      <c r="AF32" s="326">
        <f t="shared" si="28"/>
        <v>0</v>
      </c>
      <c r="AG32" s="326">
        <f t="shared" si="29"/>
        <v>0</v>
      </c>
      <c r="AH32" s="326">
        <f t="shared" si="10"/>
        <v>0</v>
      </c>
      <c r="AI32" s="327"/>
      <c r="AJ32" s="321"/>
      <c r="AK32" s="322" t="s">
        <v>33</v>
      </c>
      <c r="AL32" s="319"/>
      <c r="AM32" s="325">
        <f t="shared" si="11"/>
        <v>0</v>
      </c>
      <c r="AN32" s="326">
        <f t="shared" si="12"/>
      </c>
      <c r="AO32" s="326">
        <f t="shared" si="30"/>
        <v>0</v>
      </c>
      <c r="AP32" s="326">
        <f t="shared" si="31"/>
        <v>0</v>
      </c>
      <c r="AQ32" s="326">
        <f t="shared" si="13"/>
      </c>
      <c r="AR32" s="326">
        <f t="shared" si="32"/>
        <v>0</v>
      </c>
      <c r="AS32" s="326">
        <f t="shared" si="33"/>
        <v>0</v>
      </c>
      <c r="AT32" s="326">
        <f t="shared" si="14"/>
      </c>
      <c r="AU32" s="326">
        <f t="shared" si="34"/>
        <v>0</v>
      </c>
      <c r="AV32" s="326">
        <f t="shared" si="35"/>
        <v>0</v>
      </c>
      <c r="AW32" s="326">
        <f t="shared" si="15"/>
        <v>0</v>
      </c>
      <c r="AZ32" s="328">
        <v>6</v>
      </c>
      <c r="BA32" s="329">
        <f t="shared" si="16"/>
        <v>0</v>
      </c>
      <c r="BB32" s="330">
        <f t="shared" si="0"/>
        <v>0</v>
      </c>
      <c r="BC32" s="331">
        <v>0.4</v>
      </c>
      <c r="BD32" s="331">
        <f t="shared" si="17"/>
        <v>0</v>
      </c>
      <c r="BE32" s="331">
        <v>0.6</v>
      </c>
      <c r="BF32" s="331"/>
      <c r="BG32" s="332">
        <f t="shared" si="18"/>
        <v>0</v>
      </c>
      <c r="BH32" s="330">
        <f t="shared" si="1"/>
        <v>0</v>
      </c>
      <c r="BI32" s="331">
        <v>0.4</v>
      </c>
      <c r="BJ32" s="331">
        <f t="shared" si="19"/>
        <v>0</v>
      </c>
      <c r="BK32" s="331">
        <v>0.6</v>
      </c>
      <c r="BN32" s="328">
        <v>6</v>
      </c>
      <c r="BO32" s="329">
        <f t="shared" si="20"/>
        <v>0</v>
      </c>
      <c r="BP32" s="330">
        <f t="shared" si="2"/>
        <v>0</v>
      </c>
      <c r="BQ32" s="331">
        <v>0.4</v>
      </c>
      <c r="BR32" s="331">
        <f t="shared" si="21"/>
        <v>0</v>
      </c>
      <c r="BS32" s="331">
        <v>0.6</v>
      </c>
      <c r="BT32" s="331"/>
      <c r="BU32" s="332">
        <f t="shared" si="22"/>
        <v>0</v>
      </c>
      <c r="BV32" s="330">
        <f t="shared" si="3"/>
        <v>0</v>
      </c>
      <c r="BW32" s="331">
        <v>0.4</v>
      </c>
      <c r="BX32" s="331">
        <f t="shared" si="23"/>
        <v>0</v>
      </c>
      <c r="BY32" s="331">
        <v>0.6</v>
      </c>
      <c r="CD32" s="449"/>
    </row>
    <row r="33" spans="1:82" s="318" customFormat="1" ht="13.5" thickBot="1">
      <c r="A33" s="317">
        <f t="shared" si="4"/>
        <v>0</v>
      </c>
      <c r="B33" s="317">
        <f t="shared" si="5"/>
        <v>0</v>
      </c>
      <c r="D33" s="319"/>
      <c r="E33" s="294"/>
      <c r="F33" s="234" t="s">
        <v>34</v>
      </c>
      <c r="G33" s="320"/>
      <c r="H33" s="319"/>
      <c r="I33" s="294"/>
      <c r="J33" s="234" t="s">
        <v>34</v>
      </c>
      <c r="K33" s="320"/>
      <c r="L33" s="319"/>
      <c r="M33" s="319"/>
      <c r="N33" s="319"/>
      <c r="O33" s="319"/>
      <c r="P33" s="319"/>
      <c r="R33" s="321"/>
      <c r="S33" s="322" t="s">
        <v>34</v>
      </c>
      <c r="T33" s="323">
        <v>195</v>
      </c>
      <c r="U33" s="323">
        <v>195</v>
      </c>
      <c r="V33" s="323">
        <v>107.25</v>
      </c>
      <c r="W33" s="324"/>
      <c r="X33" s="325">
        <f t="shared" si="6"/>
        <v>0</v>
      </c>
      <c r="Y33" s="326">
        <f t="shared" si="7"/>
      </c>
      <c r="Z33" s="326">
        <f t="shared" si="24"/>
        <v>0</v>
      </c>
      <c r="AA33" s="326">
        <f t="shared" si="25"/>
        <v>0</v>
      </c>
      <c r="AB33" s="326">
        <f t="shared" si="8"/>
      </c>
      <c r="AC33" s="326">
        <f t="shared" si="26"/>
        <v>0</v>
      </c>
      <c r="AD33" s="326">
        <f t="shared" si="27"/>
        <v>0</v>
      </c>
      <c r="AE33" s="326">
        <f t="shared" si="9"/>
      </c>
      <c r="AF33" s="326">
        <f t="shared" si="28"/>
        <v>0</v>
      </c>
      <c r="AG33" s="326">
        <f t="shared" si="29"/>
        <v>0</v>
      </c>
      <c r="AH33" s="326">
        <f t="shared" si="10"/>
        <v>0</v>
      </c>
      <c r="AI33" s="327"/>
      <c r="AJ33" s="321"/>
      <c r="AK33" s="322" t="s">
        <v>34</v>
      </c>
      <c r="AL33" s="319"/>
      <c r="AM33" s="325">
        <f t="shared" si="11"/>
        <v>0</v>
      </c>
      <c r="AN33" s="326">
        <f t="shared" si="12"/>
      </c>
      <c r="AO33" s="326">
        <f t="shared" si="30"/>
        <v>0</v>
      </c>
      <c r="AP33" s="326">
        <f t="shared" si="31"/>
        <v>0</v>
      </c>
      <c r="AQ33" s="326">
        <f t="shared" si="13"/>
      </c>
      <c r="AR33" s="326">
        <f t="shared" si="32"/>
        <v>0</v>
      </c>
      <c r="AS33" s="326">
        <f t="shared" si="33"/>
        <v>0</v>
      </c>
      <c r="AT33" s="326">
        <f t="shared" si="14"/>
      </c>
      <c r="AU33" s="326">
        <f t="shared" si="34"/>
        <v>0</v>
      </c>
      <c r="AV33" s="326">
        <f t="shared" si="35"/>
        <v>0</v>
      </c>
      <c r="AW33" s="326">
        <f t="shared" si="15"/>
        <v>0</v>
      </c>
      <c r="AZ33" s="328" t="s">
        <v>141</v>
      </c>
      <c r="BA33" s="329">
        <f t="shared" si="16"/>
        <v>0</v>
      </c>
      <c r="BB33" s="330">
        <f t="shared" si="0"/>
        <v>0</v>
      </c>
      <c r="BC33" s="331">
        <v>0</v>
      </c>
      <c r="BD33" s="331">
        <f t="shared" si="17"/>
        <v>0</v>
      </c>
      <c r="BE33" s="331">
        <v>0</v>
      </c>
      <c r="BF33" s="331"/>
      <c r="BG33" s="332">
        <f t="shared" si="18"/>
        <v>0</v>
      </c>
      <c r="BH33" s="330">
        <f t="shared" si="1"/>
        <v>0</v>
      </c>
      <c r="BI33" s="333">
        <v>0</v>
      </c>
      <c r="BJ33" s="331">
        <f t="shared" si="19"/>
        <v>0</v>
      </c>
      <c r="BK33" s="333">
        <v>0</v>
      </c>
      <c r="BN33" s="328" t="s">
        <v>141</v>
      </c>
      <c r="BO33" s="329">
        <f t="shared" si="20"/>
        <v>0</v>
      </c>
      <c r="BP33" s="330">
        <f t="shared" si="2"/>
        <v>0</v>
      </c>
      <c r="BQ33" s="331">
        <v>0</v>
      </c>
      <c r="BR33" s="331">
        <f t="shared" si="21"/>
        <v>0</v>
      </c>
      <c r="BS33" s="331">
        <v>0</v>
      </c>
      <c r="BT33" s="331"/>
      <c r="BU33" s="332">
        <f t="shared" si="22"/>
        <v>0</v>
      </c>
      <c r="BV33" s="330">
        <f t="shared" si="3"/>
        <v>0</v>
      </c>
      <c r="BW33" s="333">
        <v>0</v>
      </c>
      <c r="BX33" s="331">
        <f t="shared" si="23"/>
        <v>0</v>
      </c>
      <c r="BY33" s="333">
        <v>0</v>
      </c>
      <c r="CD33" s="449"/>
    </row>
    <row r="34" spans="1:82" s="318" customFormat="1" ht="13.5" thickBot="1">
      <c r="A34" s="317">
        <f t="shared" si="4"/>
        <v>0</v>
      </c>
      <c r="B34" s="317">
        <f t="shared" si="5"/>
        <v>0</v>
      </c>
      <c r="D34" s="319"/>
      <c r="E34" s="294"/>
      <c r="F34" s="234" t="s">
        <v>35</v>
      </c>
      <c r="G34" s="320"/>
      <c r="H34" s="319"/>
      <c r="I34" s="294"/>
      <c r="J34" s="234" t="s">
        <v>35</v>
      </c>
      <c r="K34" s="320"/>
      <c r="L34" s="319"/>
      <c r="M34" s="319"/>
      <c r="N34" s="319"/>
      <c r="O34" s="319"/>
      <c r="P34" s="319"/>
      <c r="R34" s="321"/>
      <c r="S34" s="322" t="s">
        <v>35</v>
      </c>
      <c r="T34" s="323">
        <v>195</v>
      </c>
      <c r="U34" s="323">
        <v>195</v>
      </c>
      <c r="V34" s="323">
        <v>107.25</v>
      </c>
      <c r="W34" s="324"/>
      <c r="X34" s="325">
        <f t="shared" si="6"/>
        <v>0</v>
      </c>
      <c r="Y34" s="326">
        <f t="shared" si="7"/>
      </c>
      <c r="Z34" s="326">
        <f t="shared" si="24"/>
        <v>0</v>
      </c>
      <c r="AA34" s="326">
        <f t="shared" si="25"/>
        <v>0</v>
      </c>
      <c r="AB34" s="326">
        <f t="shared" si="8"/>
      </c>
      <c r="AC34" s="326">
        <f t="shared" si="26"/>
        <v>0</v>
      </c>
      <c r="AD34" s="326">
        <f t="shared" si="27"/>
        <v>0</v>
      </c>
      <c r="AE34" s="326">
        <f t="shared" si="9"/>
      </c>
      <c r="AF34" s="326">
        <f t="shared" si="28"/>
        <v>0</v>
      </c>
      <c r="AG34" s="326">
        <f t="shared" si="29"/>
        <v>0</v>
      </c>
      <c r="AH34" s="326">
        <f t="shared" si="10"/>
        <v>0</v>
      </c>
      <c r="AI34" s="327"/>
      <c r="AJ34" s="321"/>
      <c r="AK34" s="322" t="s">
        <v>35</v>
      </c>
      <c r="AL34" s="319"/>
      <c r="AM34" s="325">
        <f t="shared" si="11"/>
        <v>0</v>
      </c>
      <c r="AN34" s="326">
        <f t="shared" si="12"/>
      </c>
      <c r="AO34" s="326">
        <f t="shared" si="30"/>
        <v>0</v>
      </c>
      <c r="AP34" s="326">
        <f t="shared" si="31"/>
        <v>0</v>
      </c>
      <c r="AQ34" s="326">
        <f t="shared" si="13"/>
      </c>
      <c r="AR34" s="326">
        <f t="shared" si="32"/>
        <v>0</v>
      </c>
      <c r="AS34" s="326">
        <f t="shared" si="33"/>
        <v>0</v>
      </c>
      <c r="AT34" s="326">
        <f t="shared" si="14"/>
      </c>
      <c r="AU34" s="326">
        <f t="shared" si="34"/>
        <v>0</v>
      </c>
      <c r="AV34" s="326">
        <f t="shared" si="35"/>
        <v>0</v>
      </c>
      <c r="AW34" s="326">
        <f t="shared" si="15"/>
        <v>0</v>
      </c>
      <c r="AZ34" s="328" t="s">
        <v>142</v>
      </c>
      <c r="BA34" s="329">
        <f t="shared" si="16"/>
        <v>0</v>
      </c>
      <c r="BB34" s="330">
        <f t="shared" si="0"/>
        <v>0</v>
      </c>
      <c r="BC34" s="331">
        <v>0</v>
      </c>
      <c r="BD34" s="331">
        <f t="shared" si="17"/>
        <v>0</v>
      </c>
      <c r="BE34" s="331">
        <v>0</v>
      </c>
      <c r="BF34" s="331"/>
      <c r="BG34" s="332">
        <f t="shared" si="18"/>
        <v>0</v>
      </c>
      <c r="BH34" s="330">
        <f t="shared" si="1"/>
        <v>0</v>
      </c>
      <c r="BI34" s="333">
        <v>0</v>
      </c>
      <c r="BJ34" s="331">
        <f t="shared" si="19"/>
        <v>0</v>
      </c>
      <c r="BK34" s="333">
        <v>0</v>
      </c>
      <c r="BN34" s="328" t="s">
        <v>142</v>
      </c>
      <c r="BO34" s="329">
        <f t="shared" si="20"/>
        <v>0</v>
      </c>
      <c r="BP34" s="330">
        <f t="shared" si="2"/>
        <v>0</v>
      </c>
      <c r="BQ34" s="331">
        <v>0</v>
      </c>
      <c r="BR34" s="331">
        <f t="shared" si="21"/>
        <v>0</v>
      </c>
      <c r="BS34" s="331">
        <v>0</v>
      </c>
      <c r="BT34" s="331"/>
      <c r="BU34" s="332">
        <f t="shared" si="22"/>
        <v>0</v>
      </c>
      <c r="BV34" s="330">
        <f t="shared" si="3"/>
        <v>0</v>
      </c>
      <c r="BW34" s="333">
        <v>0</v>
      </c>
      <c r="BX34" s="331">
        <f t="shared" si="23"/>
        <v>0</v>
      </c>
      <c r="BY34" s="333">
        <v>0</v>
      </c>
      <c r="CD34" s="449"/>
    </row>
    <row r="35" spans="1:82" s="318" customFormat="1" ht="13.5" thickBot="1">
      <c r="A35" s="317">
        <f t="shared" si="4"/>
        <v>0</v>
      </c>
      <c r="B35" s="317">
        <f t="shared" si="5"/>
        <v>0</v>
      </c>
      <c r="D35" s="319"/>
      <c r="E35" s="294"/>
      <c r="F35" s="234" t="s">
        <v>39</v>
      </c>
      <c r="G35" s="320"/>
      <c r="H35" s="319"/>
      <c r="I35" s="294"/>
      <c r="J35" s="234" t="s">
        <v>39</v>
      </c>
      <c r="K35" s="320"/>
      <c r="L35" s="319"/>
      <c r="M35" s="319"/>
      <c r="N35" s="319"/>
      <c r="O35" s="319"/>
      <c r="P35" s="319"/>
      <c r="R35" s="321"/>
      <c r="S35" s="322" t="s">
        <v>39</v>
      </c>
      <c r="T35" s="323">
        <v>195</v>
      </c>
      <c r="U35" s="323">
        <v>195</v>
      </c>
      <c r="V35" s="323">
        <v>107.25</v>
      </c>
      <c r="W35" s="324"/>
      <c r="X35" s="325">
        <f t="shared" si="6"/>
        <v>0</v>
      </c>
      <c r="Y35" s="326">
        <f t="shared" si="7"/>
      </c>
      <c r="Z35" s="326">
        <f t="shared" si="24"/>
        <v>0</v>
      </c>
      <c r="AA35" s="326">
        <f t="shared" si="25"/>
        <v>0</v>
      </c>
      <c r="AB35" s="326">
        <f t="shared" si="8"/>
      </c>
      <c r="AC35" s="326">
        <f t="shared" si="26"/>
        <v>0</v>
      </c>
      <c r="AD35" s="326">
        <f t="shared" si="27"/>
        <v>0</v>
      </c>
      <c r="AE35" s="326">
        <f t="shared" si="9"/>
      </c>
      <c r="AF35" s="326">
        <f t="shared" si="28"/>
        <v>0</v>
      </c>
      <c r="AG35" s="326">
        <f t="shared" si="29"/>
        <v>0</v>
      </c>
      <c r="AH35" s="326">
        <f t="shared" si="10"/>
        <v>0</v>
      </c>
      <c r="AI35" s="327"/>
      <c r="AJ35" s="321"/>
      <c r="AK35" s="322" t="s">
        <v>39</v>
      </c>
      <c r="AL35" s="319"/>
      <c r="AM35" s="325">
        <f t="shared" si="11"/>
        <v>0</v>
      </c>
      <c r="AN35" s="326">
        <f t="shared" si="12"/>
      </c>
      <c r="AO35" s="326">
        <f t="shared" si="30"/>
        <v>0</v>
      </c>
      <c r="AP35" s="326">
        <f t="shared" si="31"/>
        <v>0</v>
      </c>
      <c r="AQ35" s="326">
        <f t="shared" si="13"/>
      </c>
      <c r="AR35" s="326">
        <f t="shared" si="32"/>
        <v>0</v>
      </c>
      <c r="AS35" s="326">
        <f t="shared" si="33"/>
        <v>0</v>
      </c>
      <c r="AT35" s="326">
        <f t="shared" si="14"/>
      </c>
      <c r="AU35" s="326">
        <f t="shared" si="34"/>
        <v>0</v>
      </c>
      <c r="AV35" s="326">
        <f t="shared" si="35"/>
        <v>0</v>
      </c>
      <c r="AW35" s="326">
        <f t="shared" si="15"/>
        <v>0</v>
      </c>
      <c r="AZ35" s="328" t="s">
        <v>143</v>
      </c>
      <c r="BA35" s="329">
        <f t="shared" si="16"/>
        <v>0</v>
      </c>
      <c r="BB35" s="330">
        <f t="shared" si="0"/>
        <v>0</v>
      </c>
      <c r="BC35" s="331">
        <v>0</v>
      </c>
      <c r="BD35" s="331">
        <f t="shared" si="17"/>
        <v>0</v>
      </c>
      <c r="BE35" s="331">
        <v>0</v>
      </c>
      <c r="BF35" s="331"/>
      <c r="BG35" s="332">
        <f t="shared" si="18"/>
        <v>0</v>
      </c>
      <c r="BH35" s="330">
        <f t="shared" si="1"/>
        <v>0</v>
      </c>
      <c r="BI35" s="333">
        <v>0</v>
      </c>
      <c r="BJ35" s="331">
        <f t="shared" si="19"/>
        <v>0</v>
      </c>
      <c r="BK35" s="333">
        <v>0</v>
      </c>
      <c r="BN35" s="328" t="s">
        <v>143</v>
      </c>
      <c r="BO35" s="329">
        <f t="shared" si="20"/>
        <v>0</v>
      </c>
      <c r="BP35" s="330">
        <f t="shared" si="2"/>
        <v>0</v>
      </c>
      <c r="BQ35" s="331">
        <v>0</v>
      </c>
      <c r="BR35" s="331">
        <f t="shared" si="21"/>
        <v>0</v>
      </c>
      <c r="BS35" s="331">
        <v>0</v>
      </c>
      <c r="BT35" s="331"/>
      <c r="BU35" s="332">
        <f t="shared" si="22"/>
        <v>0</v>
      </c>
      <c r="BV35" s="330">
        <f t="shared" si="3"/>
        <v>0</v>
      </c>
      <c r="BW35" s="333">
        <v>0</v>
      </c>
      <c r="BX35" s="331">
        <f t="shared" si="23"/>
        <v>0</v>
      </c>
      <c r="BY35" s="333">
        <v>0</v>
      </c>
      <c r="CD35" s="449"/>
    </row>
    <row r="36" spans="1:82" s="318" customFormat="1" ht="13.5" thickBot="1">
      <c r="A36" s="317">
        <f t="shared" si="4"/>
        <v>0</v>
      </c>
      <c r="B36" s="317">
        <f t="shared" si="5"/>
        <v>0</v>
      </c>
      <c r="D36" s="319"/>
      <c r="E36" s="294"/>
      <c r="F36" s="234" t="s">
        <v>40</v>
      </c>
      <c r="G36" s="320"/>
      <c r="H36" s="319"/>
      <c r="I36" s="294"/>
      <c r="J36" s="234" t="s">
        <v>40</v>
      </c>
      <c r="K36" s="320"/>
      <c r="L36" s="319"/>
      <c r="M36" s="319"/>
      <c r="N36" s="319"/>
      <c r="O36" s="319"/>
      <c r="P36" s="319"/>
      <c r="R36" s="321"/>
      <c r="S36" s="322" t="s">
        <v>40</v>
      </c>
      <c r="T36" s="323">
        <v>195</v>
      </c>
      <c r="U36" s="323">
        <v>195</v>
      </c>
      <c r="V36" s="323">
        <v>107.25</v>
      </c>
      <c r="W36" s="324"/>
      <c r="X36" s="325">
        <f t="shared" si="6"/>
        <v>0</v>
      </c>
      <c r="Y36" s="326">
        <f t="shared" si="7"/>
      </c>
      <c r="Z36" s="326">
        <f t="shared" si="24"/>
        <v>0</v>
      </c>
      <c r="AA36" s="326">
        <f t="shared" si="25"/>
        <v>0</v>
      </c>
      <c r="AB36" s="326">
        <f t="shared" si="8"/>
      </c>
      <c r="AC36" s="326">
        <f t="shared" si="26"/>
        <v>0</v>
      </c>
      <c r="AD36" s="326">
        <f t="shared" si="27"/>
        <v>0</v>
      </c>
      <c r="AE36" s="326">
        <f t="shared" si="9"/>
      </c>
      <c r="AF36" s="326">
        <f t="shared" si="28"/>
        <v>0</v>
      </c>
      <c r="AG36" s="326">
        <f t="shared" si="29"/>
        <v>0</v>
      </c>
      <c r="AH36" s="326">
        <f t="shared" si="10"/>
        <v>0</v>
      </c>
      <c r="AI36" s="327"/>
      <c r="AJ36" s="321"/>
      <c r="AK36" s="322" t="s">
        <v>40</v>
      </c>
      <c r="AL36" s="319"/>
      <c r="AM36" s="325">
        <f t="shared" si="11"/>
        <v>0</v>
      </c>
      <c r="AN36" s="326">
        <f t="shared" si="12"/>
      </c>
      <c r="AO36" s="326">
        <f t="shared" si="30"/>
        <v>0</v>
      </c>
      <c r="AP36" s="326">
        <f t="shared" si="31"/>
        <v>0</v>
      </c>
      <c r="AQ36" s="326">
        <f t="shared" si="13"/>
      </c>
      <c r="AR36" s="326">
        <f t="shared" si="32"/>
        <v>0</v>
      </c>
      <c r="AS36" s="326">
        <f t="shared" si="33"/>
        <v>0</v>
      </c>
      <c r="AT36" s="326">
        <f t="shared" si="14"/>
      </c>
      <c r="AU36" s="326">
        <f t="shared" si="34"/>
        <v>0</v>
      </c>
      <c r="AV36" s="326">
        <f t="shared" si="35"/>
        <v>0</v>
      </c>
      <c r="AW36" s="326">
        <f t="shared" si="15"/>
        <v>0</v>
      </c>
      <c r="AZ36" s="328" t="s">
        <v>144</v>
      </c>
      <c r="BA36" s="329">
        <f t="shared" si="16"/>
        <v>0</v>
      </c>
      <c r="BB36" s="330">
        <f t="shared" si="0"/>
        <v>0</v>
      </c>
      <c r="BC36" s="331">
        <v>0</v>
      </c>
      <c r="BD36" s="331">
        <f t="shared" si="17"/>
        <v>0</v>
      </c>
      <c r="BE36" s="331">
        <v>0</v>
      </c>
      <c r="BF36" s="331"/>
      <c r="BG36" s="332">
        <f t="shared" si="18"/>
        <v>0</v>
      </c>
      <c r="BH36" s="330">
        <f t="shared" si="1"/>
        <v>0</v>
      </c>
      <c r="BI36" s="333">
        <v>0</v>
      </c>
      <c r="BJ36" s="331">
        <f t="shared" si="19"/>
        <v>0</v>
      </c>
      <c r="BK36" s="333">
        <v>0</v>
      </c>
      <c r="BN36" s="328" t="s">
        <v>144</v>
      </c>
      <c r="BO36" s="329">
        <f t="shared" si="20"/>
        <v>0</v>
      </c>
      <c r="BP36" s="330">
        <f t="shared" si="2"/>
        <v>0</v>
      </c>
      <c r="BQ36" s="331">
        <v>0</v>
      </c>
      <c r="BR36" s="331">
        <f t="shared" si="21"/>
        <v>0</v>
      </c>
      <c r="BS36" s="331">
        <v>0</v>
      </c>
      <c r="BT36" s="331"/>
      <c r="BU36" s="332">
        <f t="shared" si="22"/>
        <v>0</v>
      </c>
      <c r="BV36" s="330">
        <f t="shared" si="3"/>
        <v>0</v>
      </c>
      <c r="BW36" s="333">
        <v>0</v>
      </c>
      <c r="BX36" s="331">
        <f t="shared" si="23"/>
        <v>0</v>
      </c>
      <c r="BY36" s="333">
        <v>0</v>
      </c>
      <c r="CD36" s="449"/>
    </row>
    <row r="37" spans="1:82" s="335" customFormat="1" ht="13.5" thickBot="1">
      <c r="A37" s="334">
        <f t="shared" si="4"/>
        <v>0</v>
      </c>
      <c r="B37" s="334">
        <f t="shared" si="5"/>
        <v>0</v>
      </c>
      <c r="D37" s="336"/>
      <c r="E37" s="294"/>
      <c r="F37" s="234" t="s">
        <v>41</v>
      </c>
      <c r="G37" s="337"/>
      <c r="H37" s="336"/>
      <c r="I37" s="294"/>
      <c r="J37" s="234" t="s">
        <v>41</v>
      </c>
      <c r="K37" s="337"/>
      <c r="L37" s="336"/>
      <c r="M37" s="336"/>
      <c r="N37" s="336"/>
      <c r="O37" s="336"/>
      <c r="P37" s="336"/>
      <c r="R37" s="338"/>
      <c r="S37" s="339" t="s">
        <v>41</v>
      </c>
      <c r="T37" s="305">
        <v>224.25</v>
      </c>
      <c r="U37" s="305">
        <v>224.25</v>
      </c>
      <c r="V37" s="305">
        <v>134.55</v>
      </c>
      <c r="W37" s="341"/>
      <c r="X37" s="342">
        <f t="shared" si="6"/>
        <v>0</v>
      </c>
      <c r="Y37" s="308">
        <f t="shared" si="7"/>
      </c>
      <c r="Z37" s="308">
        <f>IF(X37&gt;0,97.75,0)</f>
        <v>0</v>
      </c>
      <c r="AA37" s="308">
        <f>IF(X37&gt;0,126.5,0)</f>
        <v>0</v>
      </c>
      <c r="AB37" s="308">
        <f t="shared" si="8"/>
      </c>
      <c r="AC37" s="308">
        <f>IF(AA37&gt;0,97.75,0)</f>
        <v>0</v>
      </c>
      <c r="AD37" s="308">
        <f>IF(AA37&gt;0,126.5,0)</f>
        <v>0</v>
      </c>
      <c r="AE37" s="308">
        <f t="shared" si="9"/>
      </c>
      <c r="AF37" s="308">
        <f>IF(X37&gt;0,58.65,0)</f>
        <v>0</v>
      </c>
      <c r="AG37" s="308">
        <f>IF(X37&gt;0,75.9,0)</f>
        <v>0</v>
      </c>
      <c r="AH37" s="308">
        <f>SUM(Y37:AE37)</f>
        <v>0</v>
      </c>
      <c r="AI37" s="344"/>
      <c r="AJ37" s="338"/>
      <c r="AK37" s="339" t="s">
        <v>41</v>
      </c>
      <c r="AL37" s="336"/>
      <c r="AM37" s="342">
        <f t="shared" si="11"/>
        <v>0</v>
      </c>
      <c r="AN37" s="308">
        <f t="shared" si="12"/>
      </c>
      <c r="AO37" s="308">
        <f>IF(AM37&gt;0,97.75,0)</f>
        <v>0</v>
      </c>
      <c r="AP37" s="308">
        <f>IF(AM37&gt;0,126.5,0)</f>
        <v>0</v>
      </c>
      <c r="AQ37" s="308">
        <f t="shared" si="13"/>
      </c>
      <c r="AR37" s="308">
        <f>IF(AP37&gt;0,97.75,0)</f>
        <v>0</v>
      </c>
      <c r="AS37" s="308">
        <f>IF(AP37&gt;0,126.5,0)</f>
        <v>0</v>
      </c>
      <c r="AT37" s="308">
        <f t="shared" si="14"/>
      </c>
      <c r="AU37" s="308">
        <f>IF(AM37&gt;0,58.65,0)</f>
        <v>0</v>
      </c>
      <c r="AV37" s="308">
        <f>IF(AM37&gt;0,75.9,0)</f>
        <v>0</v>
      </c>
      <c r="AW37" s="308">
        <f>SUM(AN37:AT37)</f>
        <v>0</v>
      </c>
      <c r="AZ37" s="345" t="s">
        <v>131</v>
      </c>
      <c r="BA37" s="346">
        <f t="shared" si="16"/>
        <v>0</v>
      </c>
      <c r="BB37" s="347">
        <f t="shared" si="0"/>
        <v>0</v>
      </c>
      <c r="BC37" s="348">
        <v>0.4</v>
      </c>
      <c r="BD37" s="348">
        <f t="shared" si="17"/>
        <v>0</v>
      </c>
      <c r="BE37" s="348">
        <v>0.6</v>
      </c>
      <c r="BF37" s="348"/>
      <c r="BG37" s="349">
        <f t="shared" si="18"/>
        <v>0</v>
      </c>
      <c r="BH37" s="347">
        <f t="shared" si="1"/>
        <v>0</v>
      </c>
      <c r="BI37" s="348">
        <v>0.4</v>
      </c>
      <c r="BJ37" s="348">
        <f t="shared" si="19"/>
        <v>0</v>
      </c>
      <c r="BK37" s="348">
        <v>0.6</v>
      </c>
      <c r="BN37" s="345" t="s">
        <v>131</v>
      </c>
      <c r="BO37" s="346">
        <f t="shared" si="20"/>
        <v>0</v>
      </c>
      <c r="BP37" s="347">
        <f t="shared" si="2"/>
        <v>0</v>
      </c>
      <c r="BQ37" s="348">
        <v>0.4</v>
      </c>
      <c r="BR37" s="348">
        <f t="shared" si="21"/>
        <v>0</v>
      </c>
      <c r="BS37" s="348">
        <v>0.6</v>
      </c>
      <c r="BT37" s="348"/>
      <c r="BU37" s="349">
        <f t="shared" si="22"/>
        <v>0</v>
      </c>
      <c r="BV37" s="347">
        <f t="shared" si="3"/>
        <v>0</v>
      </c>
      <c r="BW37" s="348">
        <v>0.4</v>
      </c>
      <c r="BX37" s="348">
        <f t="shared" si="23"/>
        <v>0</v>
      </c>
      <c r="BY37" s="348">
        <v>0.6</v>
      </c>
      <c r="CD37" s="449"/>
    </row>
    <row r="38" spans="1:82" s="335" customFormat="1" ht="13.5" thickBot="1">
      <c r="A38" s="334">
        <f t="shared" si="4"/>
        <v>0</v>
      </c>
      <c r="B38" s="334">
        <f t="shared" si="5"/>
        <v>0</v>
      </c>
      <c r="D38" s="336"/>
      <c r="E38" s="294"/>
      <c r="F38" s="234" t="s">
        <v>42</v>
      </c>
      <c r="G38" s="337"/>
      <c r="H38" s="336"/>
      <c r="I38" s="294"/>
      <c r="J38" s="234" t="s">
        <v>42</v>
      </c>
      <c r="K38" s="337"/>
      <c r="L38" s="336"/>
      <c r="M38" s="336"/>
      <c r="N38" s="336"/>
      <c r="O38" s="336"/>
      <c r="P38" s="336"/>
      <c r="R38" s="338"/>
      <c r="S38" s="339" t="s">
        <v>42</v>
      </c>
      <c r="T38" s="305">
        <v>224.25</v>
      </c>
      <c r="U38" s="305">
        <v>224.25</v>
      </c>
      <c r="V38" s="305">
        <v>134.55</v>
      </c>
      <c r="W38" s="341"/>
      <c r="X38" s="342">
        <f t="shared" si="6"/>
        <v>0</v>
      </c>
      <c r="Y38" s="308">
        <f t="shared" si="7"/>
      </c>
      <c r="Z38" s="308">
        <f>IF(X38&gt;0,97.75,0)</f>
        <v>0</v>
      </c>
      <c r="AA38" s="308">
        <f>IF(X38&gt;0,126.5,0)</f>
        <v>0</v>
      </c>
      <c r="AB38" s="308">
        <f t="shared" si="8"/>
      </c>
      <c r="AC38" s="308">
        <f>IF(AA38&gt;0,97.75,0)</f>
        <v>0</v>
      </c>
      <c r="AD38" s="308">
        <f>IF(AA38&gt;0,126.5,0)</f>
        <v>0</v>
      </c>
      <c r="AE38" s="308">
        <f t="shared" si="9"/>
      </c>
      <c r="AF38" s="308">
        <f>IF(X38&gt;0,58.65,0)</f>
        <v>0</v>
      </c>
      <c r="AG38" s="308">
        <f>IF(X38&gt;0,75.9,0)</f>
        <v>0</v>
      </c>
      <c r="AH38" s="308">
        <f>SUM(Y38:AE38)</f>
        <v>0</v>
      </c>
      <c r="AI38" s="344"/>
      <c r="AJ38" s="338"/>
      <c r="AK38" s="339" t="s">
        <v>42</v>
      </c>
      <c r="AL38" s="336"/>
      <c r="AM38" s="342">
        <f t="shared" si="11"/>
        <v>0</v>
      </c>
      <c r="AN38" s="308">
        <f t="shared" si="12"/>
      </c>
      <c r="AO38" s="308">
        <f>IF(AM38&gt;0,97.75,0)</f>
        <v>0</v>
      </c>
      <c r="AP38" s="308">
        <f>IF(AM38&gt;0,126.5,0)</f>
        <v>0</v>
      </c>
      <c r="AQ38" s="308">
        <f t="shared" si="13"/>
      </c>
      <c r="AR38" s="308">
        <f>IF(AP38&gt;0,97.75,0)</f>
        <v>0</v>
      </c>
      <c r="AS38" s="308">
        <f>IF(AP38&gt;0,126.5,0)</f>
        <v>0</v>
      </c>
      <c r="AT38" s="308">
        <f t="shared" si="14"/>
      </c>
      <c r="AU38" s="308">
        <f>IF(AM38&gt;0,58.65,0)</f>
        <v>0</v>
      </c>
      <c r="AV38" s="308">
        <f>IF(AM38&gt;0,75.9,0)</f>
        <v>0</v>
      </c>
      <c r="AW38" s="308">
        <f>SUM(AN38:AT38)</f>
        <v>0</v>
      </c>
      <c r="AZ38" s="345" t="s">
        <v>132</v>
      </c>
      <c r="BA38" s="346">
        <f t="shared" si="16"/>
        <v>0</v>
      </c>
      <c r="BB38" s="347">
        <f t="shared" si="0"/>
        <v>0</v>
      </c>
      <c r="BC38" s="348">
        <v>0.4</v>
      </c>
      <c r="BD38" s="348">
        <f t="shared" si="17"/>
        <v>0</v>
      </c>
      <c r="BE38" s="348">
        <v>0.6</v>
      </c>
      <c r="BF38" s="348"/>
      <c r="BG38" s="349">
        <f t="shared" si="18"/>
        <v>0</v>
      </c>
      <c r="BH38" s="347">
        <f t="shared" si="1"/>
        <v>0</v>
      </c>
      <c r="BI38" s="348">
        <v>0.4</v>
      </c>
      <c r="BJ38" s="348">
        <f t="shared" si="19"/>
        <v>0</v>
      </c>
      <c r="BK38" s="348">
        <v>0.6</v>
      </c>
      <c r="BN38" s="345" t="s">
        <v>132</v>
      </c>
      <c r="BO38" s="346">
        <f t="shared" si="20"/>
        <v>0</v>
      </c>
      <c r="BP38" s="347">
        <f t="shared" si="2"/>
        <v>0</v>
      </c>
      <c r="BQ38" s="348">
        <v>0.4</v>
      </c>
      <c r="BR38" s="348">
        <f t="shared" si="21"/>
        <v>0</v>
      </c>
      <c r="BS38" s="348">
        <v>0.6</v>
      </c>
      <c r="BT38" s="348"/>
      <c r="BU38" s="349">
        <f t="shared" si="22"/>
        <v>0</v>
      </c>
      <c r="BV38" s="347">
        <f t="shared" si="3"/>
        <v>0</v>
      </c>
      <c r="BW38" s="348">
        <v>0.4</v>
      </c>
      <c r="BX38" s="348">
        <f t="shared" si="23"/>
        <v>0</v>
      </c>
      <c r="BY38" s="348">
        <v>0.6</v>
      </c>
      <c r="CD38" s="449"/>
    </row>
    <row r="39" spans="1:82" s="335" customFormat="1" ht="13.5" thickBot="1">
      <c r="A39" s="334">
        <f t="shared" si="4"/>
        <v>0</v>
      </c>
      <c r="B39" s="334">
        <f t="shared" si="5"/>
        <v>0</v>
      </c>
      <c r="D39" s="336"/>
      <c r="E39" s="294"/>
      <c r="F39" s="234" t="s">
        <v>43</v>
      </c>
      <c r="G39" s="337"/>
      <c r="H39" s="336"/>
      <c r="I39" s="294"/>
      <c r="J39" s="234" t="s">
        <v>43</v>
      </c>
      <c r="K39" s="337"/>
      <c r="L39" s="336"/>
      <c r="M39" s="336"/>
      <c r="N39" s="336"/>
      <c r="O39" s="336"/>
      <c r="P39" s="336"/>
      <c r="R39" s="338"/>
      <c r="S39" s="339" t="s">
        <v>43</v>
      </c>
      <c r="T39" s="305">
        <v>224.25</v>
      </c>
      <c r="U39" s="305">
        <v>224.25</v>
      </c>
      <c r="V39" s="305">
        <v>134.55</v>
      </c>
      <c r="W39" s="341"/>
      <c r="X39" s="342">
        <f t="shared" si="6"/>
        <v>0</v>
      </c>
      <c r="Y39" s="308">
        <f t="shared" si="7"/>
      </c>
      <c r="Z39" s="308">
        <f>IF(X39&gt;0,97.75,0)</f>
        <v>0</v>
      </c>
      <c r="AA39" s="308">
        <f>IF(X39&gt;0,126.5,0)</f>
        <v>0</v>
      </c>
      <c r="AB39" s="308">
        <f t="shared" si="8"/>
      </c>
      <c r="AC39" s="308">
        <f>IF(AA39&gt;0,97.75,0)</f>
        <v>0</v>
      </c>
      <c r="AD39" s="308">
        <f>IF(AA39&gt;0,126.5,0)</f>
        <v>0</v>
      </c>
      <c r="AE39" s="308">
        <f t="shared" si="9"/>
      </c>
      <c r="AF39" s="308">
        <f>IF(X39&gt;0,58.65,0)</f>
        <v>0</v>
      </c>
      <c r="AG39" s="308">
        <f>IF(X39&gt;0,75.9,0)</f>
        <v>0</v>
      </c>
      <c r="AH39" s="308">
        <f>SUM(Y39:AE39)</f>
        <v>0</v>
      </c>
      <c r="AI39" s="344"/>
      <c r="AJ39" s="338"/>
      <c r="AK39" s="339" t="s">
        <v>43</v>
      </c>
      <c r="AL39" s="336"/>
      <c r="AM39" s="342">
        <f t="shared" si="11"/>
        <v>0</v>
      </c>
      <c r="AN39" s="308">
        <f t="shared" si="12"/>
      </c>
      <c r="AO39" s="308">
        <f>IF(AM39&gt;0,97.75,0)</f>
        <v>0</v>
      </c>
      <c r="AP39" s="308">
        <f>IF(AM39&gt;0,126.5,0)</f>
        <v>0</v>
      </c>
      <c r="AQ39" s="308">
        <f t="shared" si="13"/>
      </c>
      <c r="AR39" s="308">
        <f>IF(AP39&gt;0,97.75,0)</f>
        <v>0</v>
      </c>
      <c r="AS39" s="308">
        <f>IF(AP39&gt;0,126.5,0)</f>
        <v>0</v>
      </c>
      <c r="AT39" s="308">
        <f t="shared" si="14"/>
      </c>
      <c r="AU39" s="308">
        <f>IF(AM39&gt;0,58.65,0)</f>
        <v>0</v>
      </c>
      <c r="AV39" s="308">
        <f>IF(AM39&gt;0,75.9,0)</f>
        <v>0</v>
      </c>
      <c r="AW39" s="308">
        <f>SUM(AN39:AT39)</f>
        <v>0</v>
      </c>
      <c r="AZ39" s="345" t="s">
        <v>133</v>
      </c>
      <c r="BA39" s="346">
        <f t="shared" si="16"/>
        <v>0</v>
      </c>
      <c r="BB39" s="347">
        <f t="shared" si="0"/>
        <v>0</v>
      </c>
      <c r="BC39" s="348">
        <v>0.4</v>
      </c>
      <c r="BD39" s="348">
        <f t="shared" si="17"/>
        <v>0</v>
      </c>
      <c r="BE39" s="348">
        <v>0.6</v>
      </c>
      <c r="BF39" s="348"/>
      <c r="BG39" s="349">
        <f t="shared" si="18"/>
        <v>0</v>
      </c>
      <c r="BH39" s="347">
        <f t="shared" si="1"/>
        <v>0</v>
      </c>
      <c r="BI39" s="348">
        <v>0.4</v>
      </c>
      <c r="BJ39" s="348">
        <f t="shared" si="19"/>
        <v>0</v>
      </c>
      <c r="BK39" s="348">
        <v>0.6</v>
      </c>
      <c r="BN39" s="345" t="s">
        <v>133</v>
      </c>
      <c r="BO39" s="346">
        <f t="shared" si="20"/>
        <v>0</v>
      </c>
      <c r="BP39" s="347">
        <f t="shared" si="2"/>
        <v>0</v>
      </c>
      <c r="BQ39" s="348">
        <v>0.4</v>
      </c>
      <c r="BR39" s="348">
        <f t="shared" si="21"/>
        <v>0</v>
      </c>
      <c r="BS39" s="348">
        <v>0.6</v>
      </c>
      <c r="BT39" s="348"/>
      <c r="BU39" s="349">
        <f t="shared" si="22"/>
        <v>0</v>
      </c>
      <c r="BV39" s="347">
        <f t="shared" si="3"/>
        <v>0</v>
      </c>
      <c r="BW39" s="348">
        <v>0.4</v>
      </c>
      <c r="BX39" s="348">
        <f t="shared" si="23"/>
        <v>0</v>
      </c>
      <c r="BY39" s="348">
        <v>0.6</v>
      </c>
      <c r="CD39" s="449"/>
    </row>
    <row r="40" spans="1:82" s="301" customFormat="1" ht="13.5" thickBot="1">
      <c r="A40" s="300">
        <f t="shared" si="4"/>
        <v>0</v>
      </c>
      <c r="B40" s="300">
        <f t="shared" si="5"/>
        <v>0</v>
      </c>
      <c r="D40" s="302"/>
      <c r="E40" s="294"/>
      <c r="F40" s="234" t="s">
        <v>44</v>
      </c>
      <c r="G40" s="303"/>
      <c r="H40" s="302"/>
      <c r="I40" s="294"/>
      <c r="J40" s="234" t="s">
        <v>44</v>
      </c>
      <c r="K40" s="303"/>
      <c r="L40" s="302"/>
      <c r="M40" s="302"/>
      <c r="N40" s="302"/>
      <c r="O40" s="302"/>
      <c r="P40" s="302"/>
      <c r="R40" s="86"/>
      <c r="S40" s="304" t="s">
        <v>44</v>
      </c>
      <c r="T40" s="305">
        <v>224.25</v>
      </c>
      <c r="U40" s="305">
        <v>224.25</v>
      </c>
      <c r="V40" s="305">
        <v>134.55</v>
      </c>
      <c r="W40" s="306"/>
      <c r="X40" s="307">
        <f t="shared" si="6"/>
        <v>0</v>
      </c>
      <c r="Y40" s="308">
        <f t="shared" si="7"/>
      </c>
      <c r="Z40" s="308">
        <f>IF(X40&gt;0,97.75,0)</f>
        <v>0</v>
      </c>
      <c r="AA40" s="308">
        <f>IF(X40&gt;0,126.5,0)</f>
        <v>0</v>
      </c>
      <c r="AB40" s="308">
        <f t="shared" si="8"/>
      </c>
      <c r="AC40" s="308">
        <f>IF(AA40&gt;0,97.75,0)</f>
        <v>0</v>
      </c>
      <c r="AD40" s="308">
        <f>IF(AA40&gt;0,126.5,0)</f>
        <v>0</v>
      </c>
      <c r="AE40" s="308">
        <f t="shared" si="9"/>
      </c>
      <c r="AF40" s="308">
        <f>IF(X40&gt;0,58.65,0)</f>
        <v>0</v>
      </c>
      <c r="AG40" s="308">
        <f>IF(X40&gt;0,75.9,0)</f>
        <v>0</v>
      </c>
      <c r="AH40" s="308">
        <f t="shared" si="10"/>
        <v>0</v>
      </c>
      <c r="AI40" s="309"/>
      <c r="AJ40" s="86"/>
      <c r="AK40" s="304" t="s">
        <v>44</v>
      </c>
      <c r="AL40" s="302"/>
      <c r="AM40" s="307">
        <f t="shared" si="11"/>
        <v>0</v>
      </c>
      <c r="AN40" s="308">
        <f t="shared" si="12"/>
      </c>
      <c r="AO40" s="308">
        <f>IF(AM40&gt;0,97.75,0)</f>
        <v>0</v>
      </c>
      <c r="AP40" s="308">
        <f>IF(AM40&gt;0,126.5,0)</f>
        <v>0</v>
      </c>
      <c r="AQ40" s="308">
        <f t="shared" si="13"/>
      </c>
      <c r="AR40" s="308">
        <f>IF(AP40&gt;0,97.75,0)</f>
        <v>0</v>
      </c>
      <c r="AS40" s="308">
        <f>IF(AP40&gt;0,126.5,0)</f>
        <v>0</v>
      </c>
      <c r="AT40" s="308">
        <f t="shared" si="14"/>
      </c>
      <c r="AU40" s="308">
        <f>IF(AM40&gt;0,58.65,0)</f>
        <v>0</v>
      </c>
      <c r="AV40" s="308">
        <f>IF(AM40&gt;0,75.9,0)</f>
        <v>0</v>
      </c>
      <c r="AW40" s="308">
        <f t="shared" si="15"/>
        <v>0</v>
      </c>
      <c r="AZ40" s="310" t="s">
        <v>134</v>
      </c>
      <c r="BA40" s="311">
        <f t="shared" si="16"/>
        <v>0</v>
      </c>
      <c r="BB40" s="312">
        <f t="shared" si="0"/>
        <v>0</v>
      </c>
      <c r="BC40" s="313">
        <v>0.2</v>
      </c>
      <c r="BD40" s="313">
        <f t="shared" si="17"/>
        <v>0</v>
      </c>
      <c r="BE40" s="313">
        <v>0.6</v>
      </c>
      <c r="BF40" s="313"/>
      <c r="BG40" s="314">
        <f t="shared" si="18"/>
        <v>0</v>
      </c>
      <c r="BH40" s="312">
        <f t="shared" si="1"/>
        <v>0</v>
      </c>
      <c r="BI40" s="313">
        <v>0.4</v>
      </c>
      <c r="BJ40" s="313">
        <f t="shared" si="19"/>
        <v>0</v>
      </c>
      <c r="BK40" s="313">
        <v>0.6</v>
      </c>
      <c r="BN40" s="310" t="s">
        <v>134</v>
      </c>
      <c r="BO40" s="311">
        <f t="shared" si="20"/>
        <v>0</v>
      </c>
      <c r="BP40" s="312">
        <f t="shared" si="2"/>
        <v>0</v>
      </c>
      <c r="BQ40" s="313">
        <v>0.2</v>
      </c>
      <c r="BR40" s="313">
        <f t="shared" si="21"/>
        <v>0</v>
      </c>
      <c r="BS40" s="313">
        <v>0.6</v>
      </c>
      <c r="BT40" s="313"/>
      <c r="BU40" s="314">
        <f t="shared" si="22"/>
        <v>0</v>
      </c>
      <c r="BV40" s="312">
        <f t="shared" si="3"/>
        <v>0</v>
      </c>
      <c r="BW40" s="313">
        <v>0.4</v>
      </c>
      <c r="BX40" s="313">
        <f t="shared" si="23"/>
        <v>0</v>
      </c>
      <c r="BY40" s="313">
        <v>0.6</v>
      </c>
      <c r="CD40" s="449"/>
    </row>
    <row r="41" spans="1:82" s="301" customFormat="1" ht="13.5" thickBot="1">
      <c r="A41" s="300">
        <f t="shared" si="4"/>
        <v>0</v>
      </c>
      <c r="B41" s="300">
        <f t="shared" si="5"/>
        <v>0</v>
      </c>
      <c r="D41" s="302"/>
      <c r="E41" s="294"/>
      <c r="F41" s="234" t="s">
        <v>45</v>
      </c>
      <c r="G41" s="303"/>
      <c r="H41" s="302"/>
      <c r="I41" s="294"/>
      <c r="J41" s="234" t="s">
        <v>45</v>
      </c>
      <c r="K41" s="303"/>
      <c r="L41" s="302"/>
      <c r="M41" s="302"/>
      <c r="N41" s="302"/>
      <c r="O41" s="302"/>
      <c r="P41" s="302"/>
      <c r="R41" s="86"/>
      <c r="S41" s="304" t="s">
        <v>45</v>
      </c>
      <c r="T41" s="305">
        <v>224.25</v>
      </c>
      <c r="U41" s="305">
        <v>224.25</v>
      </c>
      <c r="V41" s="305">
        <v>134.55</v>
      </c>
      <c r="W41" s="306"/>
      <c r="X41" s="307">
        <f t="shared" si="6"/>
        <v>0</v>
      </c>
      <c r="Y41" s="308">
        <f t="shared" si="7"/>
      </c>
      <c r="Z41" s="308">
        <f>IF(X41&gt;0,97.75,0)</f>
        <v>0</v>
      </c>
      <c r="AA41" s="308">
        <f>IF(X41&gt;0,126.5,0)</f>
        <v>0</v>
      </c>
      <c r="AB41" s="308">
        <f t="shared" si="8"/>
      </c>
      <c r="AC41" s="308">
        <f>IF(AA41&gt;0,97.75,0)</f>
        <v>0</v>
      </c>
      <c r="AD41" s="308">
        <f>IF(AA41&gt;0,126.5,0)</f>
        <v>0</v>
      </c>
      <c r="AE41" s="308">
        <f t="shared" si="9"/>
      </c>
      <c r="AF41" s="308">
        <f>IF(X41&gt;0,58.65,0)</f>
        <v>0</v>
      </c>
      <c r="AG41" s="308">
        <f>IF(X41&gt;0,75.9,0)</f>
        <v>0</v>
      </c>
      <c r="AH41" s="308">
        <f t="shared" si="10"/>
        <v>0</v>
      </c>
      <c r="AI41" s="309"/>
      <c r="AJ41" s="86"/>
      <c r="AK41" s="304" t="s">
        <v>45</v>
      </c>
      <c r="AL41" s="302"/>
      <c r="AM41" s="307">
        <f t="shared" si="11"/>
        <v>0</v>
      </c>
      <c r="AN41" s="308">
        <f t="shared" si="12"/>
      </c>
      <c r="AO41" s="308">
        <f>IF(AM41&gt;0,97.75,0)</f>
        <v>0</v>
      </c>
      <c r="AP41" s="308">
        <f>IF(AM41&gt;0,126.5,0)</f>
        <v>0</v>
      </c>
      <c r="AQ41" s="308">
        <f t="shared" si="13"/>
      </c>
      <c r="AR41" s="308">
        <f>IF(AP41&gt;0,97.75,0)</f>
        <v>0</v>
      </c>
      <c r="AS41" s="308">
        <f>IF(AP41&gt;0,126.5,0)</f>
        <v>0</v>
      </c>
      <c r="AT41" s="308">
        <f t="shared" si="14"/>
      </c>
      <c r="AU41" s="308">
        <f>IF(AM41&gt;0,58.65,0)</f>
        <v>0</v>
      </c>
      <c r="AV41" s="308">
        <f>IF(AM41&gt;0,75.9,0)</f>
        <v>0</v>
      </c>
      <c r="AW41" s="308">
        <f t="shared" si="15"/>
        <v>0</v>
      </c>
      <c r="AZ41" s="310" t="s">
        <v>135</v>
      </c>
      <c r="BA41" s="311">
        <f t="shared" si="16"/>
        <v>0</v>
      </c>
      <c r="BB41" s="312">
        <f t="shared" si="0"/>
        <v>0</v>
      </c>
      <c r="BC41" s="313">
        <v>0.2</v>
      </c>
      <c r="BD41" s="313">
        <f t="shared" si="17"/>
        <v>0</v>
      </c>
      <c r="BE41" s="313">
        <v>0.6</v>
      </c>
      <c r="BF41" s="313"/>
      <c r="BG41" s="314">
        <f t="shared" si="18"/>
        <v>0</v>
      </c>
      <c r="BH41" s="312">
        <f t="shared" si="1"/>
        <v>0</v>
      </c>
      <c r="BI41" s="313">
        <v>0.4</v>
      </c>
      <c r="BJ41" s="313">
        <f t="shared" si="19"/>
        <v>0</v>
      </c>
      <c r="BK41" s="313">
        <v>0.6</v>
      </c>
      <c r="BN41" s="310" t="s">
        <v>135</v>
      </c>
      <c r="BO41" s="311">
        <f t="shared" si="20"/>
        <v>0</v>
      </c>
      <c r="BP41" s="312">
        <f t="shared" si="2"/>
        <v>0</v>
      </c>
      <c r="BQ41" s="313">
        <v>0.2</v>
      </c>
      <c r="BR41" s="313">
        <f t="shared" si="21"/>
        <v>0</v>
      </c>
      <c r="BS41" s="313">
        <v>0.6</v>
      </c>
      <c r="BT41" s="313"/>
      <c r="BU41" s="314">
        <f t="shared" si="22"/>
        <v>0</v>
      </c>
      <c r="BV41" s="312">
        <f t="shared" si="3"/>
        <v>0</v>
      </c>
      <c r="BW41" s="313">
        <v>0.4</v>
      </c>
      <c r="BX41" s="313">
        <f t="shared" si="23"/>
        <v>0</v>
      </c>
      <c r="BY41" s="313">
        <v>0.6</v>
      </c>
      <c r="CD41" s="449"/>
    </row>
    <row r="42" spans="1:82" s="301" customFormat="1" ht="13.5" thickBot="1">
      <c r="A42" s="300">
        <f t="shared" si="4"/>
        <v>0</v>
      </c>
      <c r="B42" s="300">
        <f t="shared" si="5"/>
        <v>0</v>
      </c>
      <c r="D42" s="302"/>
      <c r="E42" s="294"/>
      <c r="F42" s="234" t="s">
        <v>47</v>
      </c>
      <c r="G42" s="303"/>
      <c r="H42" s="302"/>
      <c r="I42" s="294"/>
      <c r="J42" s="234" t="s">
        <v>47</v>
      </c>
      <c r="K42" s="303"/>
      <c r="L42" s="302"/>
      <c r="M42" s="302"/>
      <c r="N42" s="302"/>
      <c r="O42" s="302"/>
      <c r="P42" s="302"/>
      <c r="R42" s="86"/>
      <c r="S42" s="304" t="s">
        <v>47</v>
      </c>
      <c r="T42" s="305">
        <v>224.25</v>
      </c>
      <c r="U42" s="305">
        <v>224.25</v>
      </c>
      <c r="V42" s="305">
        <v>134.55</v>
      </c>
      <c r="W42" s="306"/>
      <c r="X42" s="307">
        <f t="shared" si="6"/>
        <v>0</v>
      </c>
      <c r="Y42" s="308">
        <f t="shared" si="7"/>
      </c>
      <c r="Z42" s="308">
        <f>IF(X42&gt;0,97.75,0)</f>
        <v>0</v>
      </c>
      <c r="AA42" s="308">
        <f>IF(X42&gt;0,126.5,0)</f>
        <v>0</v>
      </c>
      <c r="AB42" s="308">
        <f t="shared" si="8"/>
      </c>
      <c r="AC42" s="308">
        <f>IF(AA42&gt;0,97.75,0)</f>
        <v>0</v>
      </c>
      <c r="AD42" s="308">
        <f>IF(AA42&gt;0,126.5,0)</f>
        <v>0</v>
      </c>
      <c r="AE42" s="308">
        <f t="shared" si="9"/>
      </c>
      <c r="AF42" s="308">
        <f>IF(X42&gt;0,58.65,0)</f>
        <v>0</v>
      </c>
      <c r="AG42" s="308">
        <f>IF(X42&gt;0,75.9,0)</f>
        <v>0</v>
      </c>
      <c r="AH42" s="308">
        <f t="shared" si="10"/>
        <v>0</v>
      </c>
      <c r="AI42" s="309"/>
      <c r="AJ42" s="86"/>
      <c r="AK42" s="304" t="s">
        <v>47</v>
      </c>
      <c r="AL42" s="302"/>
      <c r="AM42" s="307">
        <f t="shared" si="11"/>
        <v>0</v>
      </c>
      <c r="AN42" s="308">
        <f t="shared" si="12"/>
      </c>
      <c r="AO42" s="308">
        <f>IF(AM42&gt;0,97.75,0)</f>
        <v>0</v>
      </c>
      <c r="AP42" s="308">
        <f>IF(AM42&gt;0,126.5,0)</f>
        <v>0</v>
      </c>
      <c r="AQ42" s="308">
        <f t="shared" si="13"/>
      </c>
      <c r="AR42" s="308">
        <f>IF(AP42&gt;0,97.75,0)</f>
        <v>0</v>
      </c>
      <c r="AS42" s="308">
        <f>IF(AP42&gt;0,126.5,0)</f>
        <v>0</v>
      </c>
      <c r="AT42" s="308">
        <f t="shared" si="14"/>
      </c>
      <c r="AU42" s="308">
        <f>IF(AM42&gt;0,58.65,0)</f>
        <v>0</v>
      </c>
      <c r="AV42" s="308">
        <f>IF(AM42&gt;0,75.9,0)</f>
        <v>0</v>
      </c>
      <c r="AW42" s="308">
        <f t="shared" si="15"/>
        <v>0</v>
      </c>
      <c r="AZ42" s="310" t="s">
        <v>136</v>
      </c>
      <c r="BA42" s="311">
        <f t="shared" si="16"/>
        <v>0</v>
      </c>
      <c r="BB42" s="312">
        <f t="shared" si="0"/>
        <v>0</v>
      </c>
      <c r="BC42" s="313">
        <v>0</v>
      </c>
      <c r="BD42" s="313">
        <f t="shared" si="17"/>
        <v>0</v>
      </c>
      <c r="BE42" s="313">
        <v>0.6</v>
      </c>
      <c r="BF42" s="313"/>
      <c r="BG42" s="314">
        <f t="shared" si="18"/>
        <v>0</v>
      </c>
      <c r="BH42" s="312">
        <f t="shared" si="1"/>
        <v>0</v>
      </c>
      <c r="BI42" s="315">
        <v>0</v>
      </c>
      <c r="BJ42" s="313">
        <f t="shared" si="19"/>
        <v>0</v>
      </c>
      <c r="BK42" s="313">
        <v>0.6</v>
      </c>
      <c r="BN42" s="310" t="s">
        <v>136</v>
      </c>
      <c r="BO42" s="311">
        <f t="shared" si="20"/>
        <v>0</v>
      </c>
      <c r="BP42" s="312">
        <f t="shared" si="2"/>
        <v>0</v>
      </c>
      <c r="BQ42" s="313">
        <v>0</v>
      </c>
      <c r="BR42" s="313">
        <f t="shared" si="21"/>
        <v>0</v>
      </c>
      <c r="BS42" s="313">
        <v>0.6</v>
      </c>
      <c r="BT42" s="313"/>
      <c r="BU42" s="314">
        <f t="shared" si="22"/>
        <v>0</v>
      </c>
      <c r="BV42" s="312">
        <f t="shared" si="3"/>
        <v>0</v>
      </c>
      <c r="BW42" s="315">
        <v>0</v>
      </c>
      <c r="BX42" s="313">
        <f t="shared" si="23"/>
        <v>0</v>
      </c>
      <c r="BY42" s="313">
        <v>0.6</v>
      </c>
      <c r="CD42" s="449"/>
    </row>
    <row r="43" spans="1:82" s="301" customFormat="1" ht="13.5" thickBot="1">
      <c r="A43" s="300">
        <f t="shared" si="4"/>
        <v>0</v>
      </c>
      <c r="B43" s="300">
        <f t="shared" si="5"/>
        <v>0</v>
      </c>
      <c r="D43" s="302"/>
      <c r="E43" s="294"/>
      <c r="F43" s="234" t="s">
        <v>50</v>
      </c>
      <c r="G43" s="303"/>
      <c r="H43" s="302"/>
      <c r="I43" s="294"/>
      <c r="J43" s="234" t="s">
        <v>50</v>
      </c>
      <c r="K43" s="303"/>
      <c r="L43" s="302"/>
      <c r="M43" s="302"/>
      <c r="N43" s="302"/>
      <c r="O43" s="302"/>
      <c r="P43" s="302"/>
      <c r="R43" s="86"/>
      <c r="S43" s="304" t="s">
        <v>50</v>
      </c>
      <c r="T43" s="305">
        <v>224.25</v>
      </c>
      <c r="U43" s="305">
        <v>224.25</v>
      </c>
      <c r="V43" s="305">
        <v>134.55</v>
      </c>
      <c r="W43" s="306"/>
      <c r="X43" s="307">
        <f t="shared" si="6"/>
        <v>0</v>
      </c>
      <c r="Y43" s="308">
        <f t="shared" si="7"/>
      </c>
      <c r="Z43" s="308">
        <f>IF(X43&gt;0,97.75,0)</f>
        <v>0</v>
      </c>
      <c r="AA43" s="308">
        <f>IF(X43&gt;0,126.5,0)</f>
        <v>0</v>
      </c>
      <c r="AB43" s="308">
        <f t="shared" si="8"/>
      </c>
      <c r="AC43" s="308">
        <f>IF(AA43&gt;0,97.75,0)</f>
        <v>0</v>
      </c>
      <c r="AD43" s="308">
        <f>IF(AA43&gt;0,126.5,0)</f>
        <v>0</v>
      </c>
      <c r="AE43" s="308">
        <f t="shared" si="9"/>
      </c>
      <c r="AF43" s="308">
        <f>IF(X43&gt;0,58.65,0)</f>
        <v>0</v>
      </c>
      <c r="AG43" s="308">
        <f>IF(X43&gt;0,75.9,0)</f>
        <v>0</v>
      </c>
      <c r="AH43" s="308">
        <f t="shared" si="10"/>
        <v>0</v>
      </c>
      <c r="AI43" s="309"/>
      <c r="AJ43" s="86"/>
      <c r="AK43" s="304" t="s">
        <v>50</v>
      </c>
      <c r="AL43" s="302"/>
      <c r="AM43" s="307">
        <f t="shared" si="11"/>
        <v>0</v>
      </c>
      <c r="AN43" s="308">
        <f t="shared" si="12"/>
      </c>
      <c r="AO43" s="308">
        <f>IF(AM43&gt;0,97.75,0)</f>
        <v>0</v>
      </c>
      <c r="AP43" s="308">
        <f>IF(AM43&gt;0,126.5,0)</f>
        <v>0</v>
      </c>
      <c r="AQ43" s="308">
        <f t="shared" si="13"/>
      </c>
      <c r="AR43" s="308">
        <f>IF(AP43&gt;0,97.75,0)</f>
        <v>0</v>
      </c>
      <c r="AS43" s="308">
        <f>IF(AP43&gt;0,126.5,0)</f>
        <v>0</v>
      </c>
      <c r="AT43" s="308">
        <f t="shared" si="14"/>
      </c>
      <c r="AU43" s="308">
        <f>IF(AM43&gt;0,58.65,0)</f>
        <v>0</v>
      </c>
      <c r="AV43" s="308">
        <f>IF(AM43&gt;0,75.9,0)</f>
        <v>0</v>
      </c>
      <c r="AW43" s="308">
        <f t="shared" si="15"/>
        <v>0</v>
      </c>
      <c r="AZ43" s="310" t="s">
        <v>137</v>
      </c>
      <c r="BA43" s="311">
        <f t="shared" si="16"/>
        <v>0</v>
      </c>
      <c r="BB43" s="312">
        <f t="shared" si="0"/>
        <v>0</v>
      </c>
      <c r="BC43" s="313">
        <v>0.2</v>
      </c>
      <c r="BD43" s="313">
        <f t="shared" si="17"/>
        <v>0</v>
      </c>
      <c r="BE43" s="313">
        <v>0.6</v>
      </c>
      <c r="BF43" s="313"/>
      <c r="BG43" s="314">
        <f t="shared" si="18"/>
        <v>0</v>
      </c>
      <c r="BH43" s="312">
        <f t="shared" si="1"/>
        <v>0</v>
      </c>
      <c r="BI43" s="313">
        <v>0.4</v>
      </c>
      <c r="BJ43" s="313">
        <f t="shared" si="19"/>
        <v>0</v>
      </c>
      <c r="BK43" s="313">
        <v>0.6</v>
      </c>
      <c r="BN43" s="310" t="s">
        <v>137</v>
      </c>
      <c r="BO43" s="311">
        <f t="shared" si="20"/>
        <v>0</v>
      </c>
      <c r="BP43" s="312">
        <f t="shared" si="2"/>
        <v>0</v>
      </c>
      <c r="BQ43" s="313">
        <v>0.2</v>
      </c>
      <c r="BR43" s="313">
        <f t="shared" si="21"/>
        <v>0</v>
      </c>
      <c r="BS43" s="313">
        <v>0.6</v>
      </c>
      <c r="BT43" s="313"/>
      <c r="BU43" s="314">
        <f t="shared" si="22"/>
        <v>0</v>
      </c>
      <c r="BV43" s="312">
        <f t="shared" si="3"/>
        <v>0</v>
      </c>
      <c r="BW43" s="313">
        <v>0.4</v>
      </c>
      <c r="BX43" s="313">
        <f t="shared" si="23"/>
        <v>0</v>
      </c>
      <c r="BY43" s="313">
        <v>0.6</v>
      </c>
      <c r="CD43" s="449"/>
    </row>
    <row r="44" spans="1:82" s="301" customFormat="1" ht="13.5" thickBot="1">
      <c r="A44" s="300">
        <f t="shared" si="4"/>
        <v>0</v>
      </c>
      <c r="B44" s="300">
        <f t="shared" si="5"/>
        <v>0</v>
      </c>
      <c r="D44" s="302"/>
      <c r="E44" s="294"/>
      <c r="F44" s="234" t="s">
        <v>58</v>
      </c>
      <c r="G44" s="303"/>
      <c r="H44" s="302"/>
      <c r="I44" s="294"/>
      <c r="J44" s="234" t="s">
        <v>58</v>
      </c>
      <c r="K44" s="303"/>
      <c r="L44" s="302"/>
      <c r="M44" s="302"/>
      <c r="N44" s="302"/>
      <c r="O44" s="302"/>
      <c r="P44" s="302"/>
      <c r="R44" s="86"/>
      <c r="S44" s="304" t="s">
        <v>58</v>
      </c>
      <c r="T44" s="305">
        <v>224.25</v>
      </c>
      <c r="U44" s="305">
        <v>224.25</v>
      </c>
      <c r="V44" s="305">
        <v>134.55</v>
      </c>
      <c r="W44" s="306"/>
      <c r="X44" s="307">
        <f t="shared" si="6"/>
        <v>0</v>
      </c>
      <c r="Y44" s="308">
        <f t="shared" si="7"/>
      </c>
      <c r="Z44" s="308">
        <f>IF(X44&gt;0,97.75,0)</f>
        <v>0</v>
      </c>
      <c r="AA44" s="308">
        <f>IF(X44&gt;0,126.5,0)</f>
        <v>0</v>
      </c>
      <c r="AB44" s="308">
        <f t="shared" si="8"/>
      </c>
      <c r="AC44" s="308">
        <f>IF(AA44&gt;0,97.75,0)</f>
        <v>0</v>
      </c>
      <c r="AD44" s="308">
        <f>IF(AA44&gt;0,126.5,0)</f>
        <v>0</v>
      </c>
      <c r="AE44" s="308">
        <f t="shared" si="9"/>
      </c>
      <c r="AF44" s="308">
        <f>IF(X44&gt;0,58.65,0)</f>
        <v>0</v>
      </c>
      <c r="AG44" s="308">
        <f>IF(X44&gt;0,75.9,0)</f>
        <v>0</v>
      </c>
      <c r="AH44" s="308">
        <f t="shared" si="10"/>
        <v>0</v>
      </c>
      <c r="AI44" s="309"/>
      <c r="AJ44" s="86"/>
      <c r="AK44" s="304" t="s">
        <v>58</v>
      </c>
      <c r="AL44" s="302"/>
      <c r="AM44" s="307">
        <f t="shared" si="11"/>
        <v>0</v>
      </c>
      <c r="AN44" s="308">
        <f t="shared" si="12"/>
      </c>
      <c r="AO44" s="308">
        <f>IF(AM44&gt;0,97.75,0)</f>
        <v>0</v>
      </c>
      <c r="AP44" s="308">
        <f>IF(AM44&gt;0,126.5,0)</f>
        <v>0</v>
      </c>
      <c r="AQ44" s="308">
        <f t="shared" si="13"/>
      </c>
      <c r="AR44" s="308">
        <f>IF(AP44&gt;0,97.75,0)</f>
        <v>0</v>
      </c>
      <c r="AS44" s="308">
        <f>IF(AP44&gt;0,126.5,0)</f>
        <v>0</v>
      </c>
      <c r="AT44" s="308">
        <f t="shared" si="14"/>
      </c>
      <c r="AU44" s="308">
        <f>IF(AM44&gt;0,58.65,0)</f>
        <v>0</v>
      </c>
      <c r="AV44" s="308">
        <f>IF(AM44&gt;0,75.9,0)</f>
        <v>0</v>
      </c>
      <c r="AW44" s="308">
        <f t="shared" si="15"/>
        <v>0</v>
      </c>
      <c r="AZ44" s="310" t="s">
        <v>140</v>
      </c>
      <c r="BA44" s="311">
        <f t="shared" si="16"/>
        <v>0</v>
      </c>
      <c r="BB44" s="312">
        <f t="shared" si="0"/>
        <v>0</v>
      </c>
      <c r="BC44" s="313">
        <v>0.2</v>
      </c>
      <c r="BD44" s="313">
        <f t="shared" si="17"/>
        <v>0</v>
      </c>
      <c r="BE44" s="313">
        <v>0.8</v>
      </c>
      <c r="BF44" s="313"/>
      <c r="BG44" s="314">
        <f t="shared" si="18"/>
        <v>0</v>
      </c>
      <c r="BH44" s="312">
        <f t="shared" si="1"/>
        <v>0</v>
      </c>
      <c r="BI44" s="313">
        <v>0.4</v>
      </c>
      <c r="BJ44" s="313">
        <f t="shared" si="19"/>
        <v>0</v>
      </c>
      <c r="BK44" s="313">
        <v>0.6</v>
      </c>
      <c r="BN44" s="310" t="s">
        <v>140</v>
      </c>
      <c r="BO44" s="311">
        <f t="shared" si="20"/>
        <v>0</v>
      </c>
      <c r="BP44" s="312">
        <f t="shared" si="2"/>
        <v>0</v>
      </c>
      <c r="BQ44" s="313">
        <v>0.2</v>
      </c>
      <c r="BR44" s="313">
        <f t="shared" si="21"/>
        <v>0</v>
      </c>
      <c r="BS44" s="313">
        <v>0.8</v>
      </c>
      <c r="BT44" s="313"/>
      <c r="BU44" s="314">
        <f t="shared" si="22"/>
        <v>0</v>
      </c>
      <c r="BV44" s="312">
        <f t="shared" si="3"/>
        <v>0</v>
      </c>
      <c r="BW44" s="313">
        <v>0.4</v>
      </c>
      <c r="BX44" s="313">
        <f t="shared" si="23"/>
        <v>0</v>
      </c>
      <c r="BY44" s="313">
        <v>0.6</v>
      </c>
      <c r="CD44" s="449"/>
    </row>
    <row r="45" spans="1:91" ht="13.5" thickBot="1">
      <c r="A45" s="272">
        <f t="shared" si="4"/>
        <v>0</v>
      </c>
      <c r="B45" s="272">
        <f t="shared" si="5"/>
        <v>0</v>
      </c>
      <c r="D45" s="3"/>
      <c r="E45" s="294"/>
      <c r="F45" s="234" t="s">
        <v>60</v>
      </c>
      <c r="G45" s="42"/>
      <c r="H45" s="3"/>
      <c r="I45" s="294"/>
      <c r="J45" s="234" t="s">
        <v>60</v>
      </c>
      <c r="K45" s="42"/>
      <c r="L45" s="3"/>
      <c r="M45" s="3"/>
      <c r="N45" s="3"/>
      <c r="O45" s="3"/>
      <c r="P45" s="3"/>
      <c r="R45" s="82"/>
      <c r="S45" s="216" t="s">
        <v>60</v>
      </c>
      <c r="T45" s="217">
        <v>31</v>
      </c>
      <c r="U45" s="217">
        <v>31</v>
      </c>
      <c r="V45" s="217">
        <v>18.6</v>
      </c>
      <c r="W45" s="218"/>
      <c r="X45" s="219">
        <f t="shared" si="6"/>
        <v>0</v>
      </c>
      <c r="Y45" s="220">
        <f t="shared" si="7"/>
      </c>
      <c r="Z45" s="220">
        <f>IF(X45&gt;0,24,0)</f>
        <v>0</v>
      </c>
      <c r="AA45" s="220">
        <f>IF(X45&gt;0,7,0)</f>
        <v>0</v>
      </c>
      <c r="AB45" s="220">
        <f t="shared" si="8"/>
      </c>
      <c r="AC45" s="220">
        <f>IF(X45&gt;0,24,0)</f>
        <v>0</v>
      </c>
      <c r="AD45" s="220">
        <f>IF(X45&gt;0,7,0)</f>
        <v>0</v>
      </c>
      <c r="AE45" s="220">
        <f t="shared" si="9"/>
      </c>
      <c r="AF45" s="220">
        <f>IF(X45&gt;0,14.4,0)</f>
        <v>0</v>
      </c>
      <c r="AG45" s="220">
        <f>IF(X45&gt;0,4.2,0)</f>
        <v>0</v>
      </c>
      <c r="AH45" s="220">
        <f t="shared" si="10"/>
        <v>0</v>
      </c>
      <c r="AI45" s="202"/>
      <c r="AJ45" s="224"/>
      <c r="AK45" s="216" t="s">
        <v>60</v>
      </c>
      <c r="AL45" s="215"/>
      <c r="AM45" s="219">
        <f t="shared" si="11"/>
        <v>0</v>
      </c>
      <c r="AN45" s="220">
        <f t="shared" si="12"/>
      </c>
      <c r="AO45" s="220">
        <f>IF(AM45&gt;0,24,0)</f>
        <v>0</v>
      </c>
      <c r="AP45" s="220">
        <f>IF(AM45&gt;0,7,0)</f>
        <v>0</v>
      </c>
      <c r="AQ45" s="220">
        <f t="shared" si="13"/>
      </c>
      <c r="AR45" s="220">
        <f>IF(AM45&gt;0,24,0)</f>
        <v>0</v>
      </c>
      <c r="AS45" s="220">
        <f>IF(AM45&gt;0,7,0)</f>
        <v>0</v>
      </c>
      <c r="AT45" s="220">
        <f t="shared" si="14"/>
      </c>
      <c r="AU45" s="220">
        <f>IF(AM45&gt;0,14.4,0)</f>
        <v>0</v>
      </c>
      <c r="AV45" s="220">
        <f>IF(AM45&gt;0,4.2,0)</f>
        <v>0</v>
      </c>
      <c r="AW45" s="220">
        <f t="shared" si="15"/>
        <v>0</v>
      </c>
      <c r="AX45" s="200"/>
      <c r="AY45" s="200"/>
      <c r="AZ45" s="222">
        <v>8</v>
      </c>
      <c r="BA45" s="211">
        <f t="shared" si="16"/>
        <v>0</v>
      </c>
      <c r="BB45" s="239">
        <f t="shared" si="0"/>
        <v>0</v>
      </c>
      <c r="BC45" s="223">
        <v>0</v>
      </c>
      <c r="BD45" s="223">
        <f t="shared" si="17"/>
        <v>0</v>
      </c>
      <c r="BE45" s="223">
        <v>0</v>
      </c>
      <c r="BF45" s="223"/>
      <c r="BG45" s="210">
        <f t="shared" si="18"/>
        <v>0</v>
      </c>
      <c r="BH45" s="239">
        <f t="shared" si="1"/>
        <v>0</v>
      </c>
      <c r="BI45" s="225">
        <v>0</v>
      </c>
      <c r="BJ45" s="223">
        <f t="shared" si="19"/>
        <v>0</v>
      </c>
      <c r="BK45" s="225">
        <v>0</v>
      </c>
      <c r="BL45" s="200"/>
      <c r="BM45" s="200"/>
      <c r="BN45" s="222">
        <v>8</v>
      </c>
      <c r="BO45" s="211">
        <f t="shared" si="20"/>
        <v>0</v>
      </c>
      <c r="BP45" s="239">
        <f t="shared" si="2"/>
        <v>0</v>
      </c>
      <c r="BQ45" s="223">
        <v>0</v>
      </c>
      <c r="BR45" s="223">
        <f t="shared" si="21"/>
        <v>0</v>
      </c>
      <c r="BS45" s="223">
        <v>0</v>
      </c>
      <c r="BT45" s="223"/>
      <c r="BU45" s="210">
        <f t="shared" si="22"/>
        <v>0</v>
      </c>
      <c r="BV45" s="239">
        <f t="shared" si="3"/>
        <v>0</v>
      </c>
      <c r="BW45" s="225">
        <v>0</v>
      </c>
      <c r="BX45" s="223">
        <f t="shared" si="23"/>
        <v>0</v>
      </c>
      <c r="BY45" s="225">
        <v>0</v>
      </c>
      <c r="BZ45" s="200"/>
      <c r="CA45" s="200"/>
      <c r="CB45" s="200"/>
      <c r="CC45" s="200"/>
      <c r="CD45" s="449"/>
      <c r="CE45" s="200"/>
      <c r="CF45" s="200"/>
      <c r="CG45" s="200"/>
      <c r="CH45" s="200"/>
      <c r="CI45" s="200"/>
      <c r="CJ45" s="200"/>
      <c r="CK45" s="200"/>
      <c r="CL45" s="200"/>
      <c r="CM45" s="200"/>
    </row>
    <row r="46" spans="1:91" ht="12.75">
      <c r="A46" s="272">
        <f>SUM(A22:A45)</f>
        <v>0</v>
      </c>
      <c r="B46" s="272">
        <f>SUM(B22:B45)</f>
        <v>0</v>
      </c>
      <c r="D46" s="3"/>
      <c r="E46" s="3"/>
      <c r="F46" s="3"/>
      <c r="G46" s="10"/>
      <c r="H46" s="3"/>
      <c r="I46" s="3"/>
      <c r="J46" s="3"/>
      <c r="K46" s="3"/>
      <c r="L46" s="3"/>
      <c r="M46" s="3"/>
      <c r="N46" s="3"/>
      <c r="O46" s="3"/>
      <c r="P46" s="3"/>
      <c r="S46" s="200"/>
      <c r="T46" s="201"/>
      <c r="U46" s="200"/>
      <c r="V46" s="200"/>
      <c r="W46" s="200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0"/>
      <c r="AK46" s="200"/>
      <c r="AL46" s="215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0"/>
      <c r="AY46" s="200"/>
      <c r="AZ46" s="200"/>
      <c r="BA46" s="201"/>
      <c r="BB46" s="201"/>
      <c r="BC46" s="200"/>
      <c r="BD46" s="200"/>
      <c r="BE46" s="200"/>
      <c r="BF46" s="200"/>
      <c r="BG46" s="201"/>
      <c r="BH46" s="201"/>
      <c r="BI46" s="200"/>
      <c r="BJ46" s="200"/>
      <c r="BK46" s="200"/>
      <c r="BL46" s="200"/>
      <c r="BM46" s="200"/>
      <c r="BN46" s="200"/>
      <c r="BO46" s="201"/>
      <c r="BP46" s="201"/>
      <c r="BQ46" s="200"/>
      <c r="BR46" s="200"/>
      <c r="BS46" s="200"/>
      <c r="BT46" s="200"/>
      <c r="BU46" s="201"/>
      <c r="BV46" s="201"/>
      <c r="BW46" s="200"/>
      <c r="BX46" s="200"/>
      <c r="BY46" s="200"/>
      <c r="BZ46" s="200"/>
      <c r="CA46" s="200"/>
      <c r="CB46" s="200"/>
      <c r="CC46" s="200"/>
      <c r="CD46" s="449"/>
      <c r="CE46" s="200"/>
      <c r="CF46" s="200"/>
      <c r="CG46" s="200"/>
      <c r="CH46" s="200"/>
      <c r="CI46" s="200"/>
      <c r="CJ46" s="200"/>
      <c r="CK46" s="200"/>
      <c r="CL46" s="200"/>
      <c r="CM46" s="200"/>
    </row>
    <row r="47" spans="4:91" ht="12.75">
      <c r="D47" s="3"/>
      <c r="E47" s="126"/>
      <c r="F47" s="234"/>
      <c r="G47" s="10"/>
      <c r="H47" s="3"/>
      <c r="I47" s="3"/>
      <c r="J47" s="3"/>
      <c r="K47" s="3"/>
      <c r="L47" s="3"/>
      <c r="M47" s="3"/>
      <c r="N47" s="3"/>
      <c r="O47" s="3"/>
      <c r="P47" s="3"/>
      <c r="S47" s="200"/>
      <c r="T47" s="201"/>
      <c r="U47" s="200"/>
      <c r="V47" s="200"/>
      <c r="W47" s="200"/>
      <c r="X47" s="220"/>
      <c r="Y47" s="220"/>
      <c r="Z47" s="220">
        <f>IF(E14&gt;0,SUM(Z22:Z45),0)</f>
        <v>0</v>
      </c>
      <c r="AA47" s="220">
        <f>IF(E14&gt;0,SUM(AA22:AA45),0)</f>
        <v>0</v>
      </c>
      <c r="AB47" s="220"/>
      <c r="AC47" s="220">
        <f>IF(E16&gt;0,SUM(AC22:AC45),0)</f>
        <v>0</v>
      </c>
      <c r="AD47" s="220">
        <f>IF(E16&gt;0,SUM(AD22:AD45),0)</f>
        <v>0</v>
      </c>
      <c r="AE47" s="220"/>
      <c r="AF47" s="220">
        <f>IF(E18&gt;0,SUM(AF22:AF45),0)</f>
        <v>0</v>
      </c>
      <c r="AG47" s="220">
        <f>IF(E18&gt;0,SUM(AG22:AG45),0)</f>
        <v>0</v>
      </c>
      <c r="AH47" s="220"/>
      <c r="AI47" s="202"/>
      <c r="AJ47" s="200"/>
      <c r="AK47" s="200"/>
      <c r="AL47" s="215"/>
      <c r="AM47" s="220"/>
      <c r="AN47" s="220"/>
      <c r="AO47" s="220">
        <f>IF(E14&gt;0,SUM(AO22:AO45),0)</f>
        <v>0</v>
      </c>
      <c r="AP47" s="220">
        <f>IF(E14&gt;0,SUM(AP22:AP45),0)</f>
        <v>0</v>
      </c>
      <c r="AQ47" s="220"/>
      <c r="AR47" s="220">
        <f>IF(E16&gt;0,SUM(AR22:AR45),0)</f>
        <v>0</v>
      </c>
      <c r="AS47" s="220">
        <f>IF(E16&gt;0,SUM(AS22:AS45),0)</f>
        <v>0</v>
      </c>
      <c r="AT47" s="220"/>
      <c r="AU47" s="220">
        <f>IF(E18&gt;0,SUM(AU22:AU45),0)</f>
        <v>0</v>
      </c>
      <c r="AV47" s="220">
        <f>IF(E18&gt;0,SUM(AV22:AV45),0)</f>
        <v>0</v>
      </c>
      <c r="AW47" s="220"/>
      <c r="AX47" s="200"/>
      <c r="AY47" s="200"/>
      <c r="AZ47" s="200"/>
      <c r="BA47" s="201"/>
      <c r="BB47" s="226">
        <f>SUM(BB22:BB45)</f>
        <v>0</v>
      </c>
      <c r="BC47" s="226"/>
      <c r="BD47" s="226">
        <f>SUM(BD22:BD45)</f>
        <v>0</v>
      </c>
      <c r="BE47" s="226"/>
      <c r="BF47" s="226"/>
      <c r="BG47" s="226"/>
      <c r="BH47" s="226">
        <f>SUM(BH22:BH45)</f>
        <v>0</v>
      </c>
      <c r="BI47" s="226"/>
      <c r="BJ47" s="226">
        <f>SUM(BJ22:BJ45)</f>
        <v>0</v>
      </c>
      <c r="BK47" s="226"/>
      <c r="BL47" s="200"/>
      <c r="BM47" s="200"/>
      <c r="BN47" s="200"/>
      <c r="BO47" s="201"/>
      <c r="BP47" s="226">
        <f>SUM(BP22:BP45)</f>
        <v>0</v>
      </c>
      <c r="BQ47" s="226"/>
      <c r="BR47" s="226">
        <f>SUM(BR22:BR45)</f>
        <v>0</v>
      </c>
      <c r="BS47" s="226"/>
      <c r="BT47" s="226"/>
      <c r="BU47" s="226"/>
      <c r="BV47" s="226">
        <f>SUM(BV22:BV45)</f>
        <v>0</v>
      </c>
      <c r="BW47" s="226"/>
      <c r="BX47" s="226">
        <f>SUM(BX22:BX45)</f>
        <v>0</v>
      </c>
      <c r="BY47" s="226"/>
      <c r="BZ47" s="200"/>
      <c r="CA47" s="200"/>
      <c r="CB47" s="200"/>
      <c r="CC47" s="200"/>
      <c r="CD47" s="449"/>
      <c r="CE47" s="200"/>
      <c r="CF47" s="200"/>
      <c r="CG47" s="200"/>
      <c r="CH47" s="200"/>
      <c r="CI47" s="200"/>
      <c r="CJ47" s="200"/>
      <c r="CK47" s="200"/>
      <c r="CL47" s="200"/>
      <c r="CM47" s="200"/>
    </row>
    <row r="48" spans="4:91" ht="12.75">
      <c r="D48" s="3"/>
      <c r="E48" s="126"/>
      <c r="F48" s="634" t="s">
        <v>197</v>
      </c>
      <c r="G48" s="634"/>
      <c r="H48" s="3"/>
      <c r="I48" s="3"/>
      <c r="J48" s="623" t="s">
        <v>198</v>
      </c>
      <c r="K48" s="623"/>
      <c r="L48" s="51"/>
      <c r="M48" s="51"/>
      <c r="N48" s="3"/>
      <c r="O48" s="3"/>
      <c r="P48" s="3"/>
      <c r="S48" s="200"/>
      <c r="T48" s="201"/>
      <c r="U48" s="200"/>
      <c r="V48" s="200"/>
      <c r="W48" s="200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1"/>
      <c r="BB48" s="201"/>
      <c r="BC48" s="200"/>
      <c r="BD48" s="200"/>
      <c r="BE48" s="200"/>
      <c r="BF48" s="200"/>
      <c r="BG48" s="201"/>
      <c r="BH48" s="201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449"/>
      <c r="CE48" s="200"/>
      <c r="CF48" s="200"/>
      <c r="CG48" s="200"/>
      <c r="CH48" s="200"/>
      <c r="CI48" s="200"/>
      <c r="CJ48" s="200"/>
      <c r="CK48" s="200"/>
      <c r="CL48" s="200"/>
      <c r="CM48" s="200"/>
    </row>
    <row r="49" spans="4:91" ht="12.75">
      <c r="D49" s="3"/>
      <c r="E49" s="126"/>
      <c r="F49" s="234" t="s">
        <v>338</v>
      </c>
      <c r="G49" s="198">
        <f>SUM(Z47+AC47+AF47)</f>
        <v>0</v>
      </c>
      <c r="H49" s="3"/>
      <c r="I49" s="3"/>
      <c r="J49" s="234" t="s">
        <v>338</v>
      </c>
      <c r="K49" s="198">
        <f>SUM(AO47+AR47+AU47)</f>
        <v>0</v>
      </c>
      <c r="L49" s="188"/>
      <c r="M49" s="234" t="s">
        <v>13</v>
      </c>
      <c r="N49" s="168">
        <f>K49-G49</f>
        <v>0</v>
      </c>
      <c r="O49" s="3"/>
      <c r="P49" s="285"/>
      <c r="Q49" s="197"/>
      <c r="R49" s="624" t="s">
        <v>467</v>
      </c>
      <c r="S49" s="624"/>
      <c r="T49" s="624"/>
      <c r="U49" s="200"/>
      <c r="V49" s="200"/>
      <c r="W49" s="200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1"/>
      <c r="BB49" s="201"/>
      <c r="BC49" s="200"/>
      <c r="BD49" s="200"/>
      <c r="BE49" s="200"/>
      <c r="BF49" s="200"/>
      <c r="BG49" s="201"/>
      <c r="BH49" s="201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449"/>
      <c r="CE49" s="200"/>
      <c r="CF49" s="200"/>
      <c r="CG49" s="200"/>
      <c r="CH49" s="200"/>
      <c r="CI49" s="200"/>
      <c r="CJ49" s="200"/>
      <c r="CK49" s="200"/>
      <c r="CL49" s="200"/>
      <c r="CM49" s="200"/>
    </row>
    <row r="50" spans="4:91" ht="12.75">
      <c r="D50" s="3"/>
      <c r="E50" s="126"/>
      <c r="F50" s="234" t="s">
        <v>339</v>
      </c>
      <c r="G50" s="198">
        <f>SUM(AA47+AD47+AG47)</f>
        <v>0</v>
      </c>
      <c r="H50" s="3"/>
      <c r="I50" s="3"/>
      <c r="J50" s="234" t="s">
        <v>339</v>
      </c>
      <c r="K50" s="198">
        <f>SUM(AP47+AS47+AV47)</f>
        <v>0</v>
      </c>
      <c r="L50" s="188"/>
      <c r="M50" s="234" t="s">
        <v>14</v>
      </c>
      <c r="N50" s="168">
        <f>K50-G50</f>
        <v>0</v>
      </c>
      <c r="O50" s="3"/>
      <c r="P50" s="285"/>
      <c r="Q50" s="197"/>
      <c r="S50" s="385">
        <f>N49+N50</f>
        <v>0</v>
      </c>
      <c r="T50" s="201"/>
      <c r="U50" s="200"/>
      <c r="V50" s="200"/>
      <c r="W50" s="200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1"/>
      <c r="BB50" s="201"/>
      <c r="BC50" s="200"/>
      <c r="BD50" s="200"/>
      <c r="BE50" s="200"/>
      <c r="BF50" s="200"/>
      <c r="BG50" s="201"/>
      <c r="BH50" s="201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449"/>
      <c r="CE50" s="200"/>
      <c r="CF50" s="200"/>
      <c r="CG50" s="200"/>
      <c r="CH50" s="200"/>
      <c r="CI50" s="200"/>
      <c r="CJ50" s="200"/>
      <c r="CK50" s="200"/>
      <c r="CL50" s="200"/>
      <c r="CM50" s="200"/>
    </row>
    <row r="51" spans="4:91" ht="12.75" customHeight="1">
      <c r="D51" s="3"/>
      <c r="E51" s="3"/>
      <c r="F51" s="621">
        <f>IF(S50&gt;0,"Differenza U1 e U2 &gt;0 Aumento di carico urbanistico compilare QCC per CD","")</f>
      </c>
      <c r="G51" s="621"/>
      <c r="H51" s="621"/>
      <c r="I51" s="621"/>
      <c r="J51" s="621"/>
      <c r="K51" s="621"/>
      <c r="L51" s="621"/>
      <c r="M51" s="621"/>
      <c r="N51" s="621"/>
      <c r="O51" s="3"/>
      <c r="P51" s="3"/>
      <c r="R51" s="126"/>
      <c r="S51" s="227"/>
      <c r="T51" s="228"/>
      <c r="U51" s="227"/>
      <c r="V51" s="227"/>
      <c r="W51" s="227"/>
      <c r="X51" s="229"/>
      <c r="Y51" s="229">
        <f>IF(AH22&gt;0,AB51,"")</f>
      </c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1"/>
      <c r="BB51" s="201"/>
      <c r="BC51" s="200"/>
      <c r="BD51" s="200"/>
      <c r="BE51" s="200"/>
      <c r="BF51" s="200"/>
      <c r="BG51" s="201"/>
      <c r="BH51" s="201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449"/>
      <c r="CE51" s="200"/>
      <c r="CF51" s="200"/>
      <c r="CG51" s="200"/>
      <c r="CH51" s="200"/>
      <c r="CI51" s="200"/>
      <c r="CJ51" s="200"/>
      <c r="CK51" s="200"/>
      <c r="CL51" s="200"/>
      <c r="CM51" s="200"/>
    </row>
    <row r="52" spans="4:91" ht="12.75" customHeight="1"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R52" s="126"/>
      <c r="S52" s="227"/>
      <c r="T52" s="228"/>
      <c r="U52" s="227"/>
      <c r="V52" s="227"/>
      <c r="W52" s="227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1"/>
      <c r="BB52" s="201"/>
      <c r="BC52" s="200"/>
      <c r="BD52" s="200"/>
      <c r="BE52" s="200"/>
      <c r="BF52" s="200"/>
      <c r="BG52" s="201"/>
      <c r="BH52" s="201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449"/>
      <c r="CE52" s="200"/>
      <c r="CF52" s="200"/>
      <c r="CG52" s="200"/>
      <c r="CH52" s="200"/>
      <c r="CI52" s="200"/>
      <c r="CJ52" s="200"/>
      <c r="CK52" s="200"/>
      <c r="CL52" s="200"/>
      <c r="CM52" s="200"/>
    </row>
    <row r="53" spans="4:91" ht="12.75" customHeight="1">
      <c r="D53" s="3"/>
      <c r="E53" s="3"/>
      <c r="F53" s="234" t="s">
        <v>324</v>
      </c>
      <c r="G53" s="626"/>
      <c r="H53" s="627"/>
      <c r="I53" s="3"/>
      <c r="J53" s="3"/>
      <c r="K53" s="5" t="s">
        <v>302</v>
      </c>
      <c r="L53" s="3"/>
      <c r="M53" s="620">
        <f>S53</f>
        <v>0</v>
      </c>
      <c r="N53" s="620"/>
      <c r="O53" s="3"/>
      <c r="P53" s="3"/>
      <c r="R53" s="126"/>
      <c r="S53" s="282">
        <f>IF(N49&gt;0,N49*G53,0)</f>
        <v>0</v>
      </c>
      <c r="T53" s="228"/>
      <c r="U53" s="227"/>
      <c r="V53" s="227"/>
      <c r="W53" s="227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1"/>
      <c r="BB53" s="201"/>
      <c r="BC53" s="200"/>
      <c r="BD53" s="200"/>
      <c r="BE53" s="200"/>
      <c r="BF53" s="200"/>
      <c r="BG53" s="201"/>
      <c r="BH53" s="201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449"/>
      <c r="CE53" s="200"/>
      <c r="CF53" s="200"/>
      <c r="CG53" s="200"/>
      <c r="CH53" s="200"/>
      <c r="CI53" s="200"/>
      <c r="CJ53" s="200"/>
      <c r="CK53" s="200"/>
      <c r="CL53" s="200"/>
      <c r="CM53" s="200"/>
    </row>
    <row r="54" spans="4:91" ht="12.75" customHeight="1">
      <c r="D54" s="3"/>
      <c r="E54" s="3"/>
      <c r="F54" s="3"/>
      <c r="G54" s="10"/>
      <c r="H54" s="3"/>
      <c r="I54" s="3"/>
      <c r="J54" s="3"/>
      <c r="K54" s="5" t="s">
        <v>303</v>
      </c>
      <c r="L54" s="3"/>
      <c r="M54" s="620">
        <f>S54</f>
        <v>0</v>
      </c>
      <c r="N54" s="620"/>
      <c r="O54" s="3"/>
      <c r="P54" s="3"/>
      <c r="R54" s="126"/>
      <c r="S54" s="282">
        <f>IF(N50&gt;0,N50*G53,0)</f>
        <v>0</v>
      </c>
      <c r="T54" s="228"/>
      <c r="U54" s="227"/>
      <c r="V54" s="227"/>
      <c r="W54" s="227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1"/>
      <c r="BB54" s="201"/>
      <c r="BC54" s="200"/>
      <c r="BD54" s="200"/>
      <c r="BE54" s="200"/>
      <c r="BF54" s="200"/>
      <c r="BG54" s="201"/>
      <c r="BH54" s="201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449"/>
      <c r="CE54" s="200"/>
      <c r="CF54" s="200"/>
      <c r="CG54" s="200"/>
      <c r="CH54" s="200"/>
      <c r="CI54" s="200"/>
      <c r="CJ54" s="200"/>
      <c r="CK54" s="200"/>
      <c r="CL54" s="200"/>
      <c r="CM54" s="200"/>
    </row>
    <row r="55" spans="4:91" ht="12.75" customHeight="1">
      <c r="D55" s="3"/>
      <c r="E55" s="3"/>
      <c r="F55" s="3"/>
      <c r="G55" s="10"/>
      <c r="H55" s="3"/>
      <c r="I55" s="3"/>
      <c r="J55" s="3"/>
      <c r="K55" s="3"/>
      <c r="L55" s="3"/>
      <c r="M55" s="3"/>
      <c r="N55" s="3"/>
      <c r="O55" s="3"/>
      <c r="P55" s="3"/>
      <c r="R55" s="126"/>
      <c r="S55" s="227"/>
      <c r="T55" s="228"/>
      <c r="U55" s="227"/>
      <c r="V55" s="227"/>
      <c r="W55" s="227"/>
      <c r="X55" s="351">
        <f>IF(I37&gt;0,1,"")</f>
      </c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1"/>
      <c r="BB55" s="201"/>
      <c r="BC55" s="200"/>
      <c r="BD55" s="200"/>
      <c r="BE55" s="200"/>
      <c r="BF55" s="200"/>
      <c r="BG55" s="201"/>
      <c r="BH55" s="201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449"/>
      <c r="CE55" s="200"/>
      <c r="CF55" s="200"/>
      <c r="CG55" s="200"/>
      <c r="CH55" s="200"/>
      <c r="CI55" s="200"/>
      <c r="CJ55" s="200"/>
      <c r="CK55" s="200"/>
      <c r="CL55" s="200"/>
      <c r="CM55" s="200"/>
    </row>
    <row r="56" spans="4:91" ht="12.75" customHeight="1">
      <c r="D56" s="3"/>
      <c r="E56" s="3"/>
      <c r="F56" s="3"/>
      <c r="G56" s="10"/>
      <c r="H56" s="3"/>
      <c r="I56" s="3"/>
      <c r="J56" s="3"/>
      <c r="K56" s="3"/>
      <c r="L56" s="3"/>
      <c r="M56" s="3"/>
      <c r="N56" s="3"/>
      <c r="O56" s="3"/>
      <c r="P56" s="3"/>
      <c r="R56" s="126"/>
      <c r="S56" s="227"/>
      <c r="T56" s="228"/>
      <c r="U56" s="227"/>
      <c r="V56" s="227"/>
      <c r="W56" s="227"/>
      <c r="X56" s="351">
        <f>IF(I38&gt;0,1,"")</f>
      </c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1"/>
      <c r="BB56" s="201"/>
      <c r="BC56" s="200"/>
      <c r="BD56" s="200"/>
      <c r="BE56" s="200"/>
      <c r="BF56" s="200"/>
      <c r="BG56" s="201"/>
      <c r="BH56" s="201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449"/>
      <c r="CE56" s="200"/>
      <c r="CF56" s="200"/>
      <c r="CG56" s="200"/>
      <c r="CH56" s="200"/>
      <c r="CI56" s="200"/>
      <c r="CJ56" s="200"/>
      <c r="CK56" s="200"/>
      <c r="CL56" s="200"/>
      <c r="CM56" s="200"/>
    </row>
    <row r="57" spans="4:91" ht="12.75" customHeight="1">
      <c r="D57" s="3"/>
      <c r="E57" s="623" t="s">
        <v>197</v>
      </c>
      <c r="F57" s="623"/>
      <c r="G57" s="623"/>
      <c r="H57" s="3"/>
      <c r="I57" s="623" t="s">
        <v>198</v>
      </c>
      <c r="J57" s="623"/>
      <c r="K57" s="623"/>
      <c r="L57" s="3"/>
      <c r="M57" s="3"/>
      <c r="N57" s="3"/>
      <c r="O57" s="3"/>
      <c r="P57" s="3"/>
      <c r="R57" s="126"/>
      <c r="S57" s="227"/>
      <c r="T57" s="228"/>
      <c r="U57" s="227"/>
      <c r="V57" s="227"/>
      <c r="W57" s="227"/>
      <c r="X57" s="351">
        <f>IF(I39&gt;0,1,"")</f>
      </c>
      <c r="Y57" s="229">
        <f>IF(AH23&gt;0,AB57,"")</f>
      </c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7"/>
      <c r="AK57" s="227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1"/>
      <c r="BB57" s="201"/>
      <c r="BC57" s="200"/>
      <c r="BD57" s="200"/>
      <c r="BE57" s="200"/>
      <c r="BF57" s="200"/>
      <c r="BG57" s="201"/>
      <c r="BH57" s="201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449"/>
      <c r="CE57" s="200"/>
      <c r="CF57" s="200"/>
      <c r="CG57" s="200"/>
      <c r="CH57" s="200"/>
      <c r="CI57" s="200"/>
      <c r="CJ57" s="200"/>
      <c r="CK57" s="200"/>
      <c r="CL57" s="200"/>
      <c r="CM57" s="200"/>
    </row>
    <row r="58" spans="4:82" ht="12.75" customHeight="1">
      <c r="D58" s="3"/>
      <c r="E58" s="542" t="s">
        <v>511</v>
      </c>
      <c r="F58" s="543"/>
      <c r="G58" s="232">
        <f>BB47+BH47</f>
        <v>0</v>
      </c>
      <c r="H58" s="3"/>
      <c r="I58" s="542" t="s">
        <v>511</v>
      </c>
      <c r="J58" s="543"/>
      <c r="K58" s="233">
        <f>BP47+BV47</f>
        <v>0</v>
      </c>
      <c r="L58" s="3"/>
      <c r="M58" s="3"/>
      <c r="N58" s="3"/>
      <c r="O58" s="3"/>
      <c r="P58" s="3"/>
      <c r="R58" s="126"/>
      <c r="S58" s="128"/>
      <c r="T58" s="4"/>
      <c r="U58" s="128"/>
      <c r="V58" s="128"/>
      <c r="W58" s="128"/>
      <c r="X58" s="351">
        <f>IF(I40&gt;0,1,"")</f>
      </c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28"/>
      <c r="AK58" s="128"/>
      <c r="CD58" s="449"/>
    </row>
    <row r="59" spans="4:82" ht="12.75">
      <c r="D59" s="3"/>
      <c r="E59" s="542" t="s">
        <v>512</v>
      </c>
      <c r="F59" s="543"/>
      <c r="G59" s="232">
        <f>BD47+BJ47</f>
        <v>0</v>
      </c>
      <c r="H59" s="3"/>
      <c r="I59" s="542" t="s">
        <v>512</v>
      </c>
      <c r="J59" s="543"/>
      <c r="K59" s="233">
        <f>BR47+BX47</f>
        <v>0</v>
      </c>
      <c r="L59" s="3"/>
      <c r="M59" s="3"/>
      <c r="N59" s="3"/>
      <c r="O59" s="3"/>
      <c r="P59" s="3"/>
      <c r="Q59" s="3"/>
      <c r="R59" s="3"/>
      <c r="S59" s="128"/>
      <c r="T59" s="4"/>
      <c r="U59" s="128"/>
      <c r="V59" s="128"/>
      <c r="W59" s="387" t="s">
        <v>16</v>
      </c>
      <c r="X59" s="351">
        <f>SUM(X55:X58)</f>
        <v>0</v>
      </c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CD59" s="449"/>
    </row>
    <row r="60" spans="4:82" ht="12.75">
      <c r="D60" s="3"/>
      <c r="E60" s="126"/>
      <c r="F60" s="234"/>
      <c r="G60" s="1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28"/>
      <c r="T60" s="4"/>
      <c r="U60" s="128"/>
      <c r="V60" s="128"/>
      <c r="W60" s="128"/>
      <c r="X60" s="38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CD60" s="449"/>
    </row>
    <row r="61" spans="4:82" ht="12.75">
      <c r="D61" s="3"/>
      <c r="E61" s="3"/>
      <c r="F61" s="621">
        <f>IF((K58+K59)&gt;(G58+G59),"N B : Aumento di CU calcolare Monetizzazioni e compilare QCC","")</f>
      </c>
      <c r="G61" s="621"/>
      <c r="H61" s="621"/>
      <c r="I61" s="621"/>
      <c r="J61" s="621"/>
      <c r="K61" s="621"/>
      <c r="L61" s="621"/>
      <c r="M61" s="621"/>
      <c r="N61" s="621"/>
      <c r="O61" s="3"/>
      <c r="P61" s="3"/>
      <c r="Q61" s="3"/>
      <c r="R61" s="3"/>
      <c r="S61" s="128"/>
      <c r="T61" s="4"/>
      <c r="U61" s="128"/>
      <c r="V61" s="128"/>
      <c r="W61" s="128"/>
      <c r="X61" s="351">
        <f>X59</f>
        <v>0</v>
      </c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CD61" s="449"/>
    </row>
    <row r="62" spans="4:82" ht="12.75" customHeight="1">
      <c r="D62" s="3"/>
      <c r="E62" s="126"/>
      <c r="F62" s="621">
        <f>IF(X61&gt;0," N B : Per Nuovo insediamento usi commerciali vedi art 115 punto 4 del RUE","")</f>
      </c>
      <c r="G62" s="621"/>
      <c r="H62" s="621"/>
      <c r="I62" s="621"/>
      <c r="J62" s="621"/>
      <c r="K62" s="621"/>
      <c r="L62" s="621"/>
      <c r="M62" s="621"/>
      <c r="N62" s="621"/>
      <c r="O62" s="3"/>
      <c r="P62" s="3"/>
      <c r="Q62" s="3"/>
      <c r="R62" s="3"/>
      <c r="S62" s="128"/>
      <c r="T62" s="10"/>
      <c r="CD62" s="449"/>
    </row>
    <row r="63" spans="4:82" ht="13.5" customHeight="1">
      <c r="D63" s="3"/>
      <c r="E63" s="126"/>
      <c r="F63" s="622">
        <f>IF(K58+K59&lt;G59+G58,"N B  monetizzazioni non dovute , rimuovere le spunte sottostanti e non compilare QCC","")</f>
      </c>
      <c r="G63" s="622"/>
      <c r="H63" s="622"/>
      <c r="I63" s="622"/>
      <c r="J63" s="622"/>
      <c r="K63" s="622"/>
      <c r="L63" s="622"/>
      <c r="M63" s="622"/>
      <c r="N63" s="622"/>
      <c r="O63" s="3"/>
      <c r="P63" s="3"/>
      <c r="Q63" s="3"/>
      <c r="R63" s="3"/>
      <c r="S63" s="128"/>
      <c r="T63" s="10"/>
      <c r="CD63" s="449"/>
    </row>
    <row r="64" spans="4:82" ht="12.75">
      <c r="D64" s="3"/>
      <c r="E64" s="3"/>
      <c r="O64" s="3"/>
      <c r="P64" s="3"/>
      <c r="Q64" s="3"/>
      <c r="R64" s="3"/>
      <c r="S64" s="128"/>
      <c r="T64" s="10"/>
      <c r="CD64" s="449"/>
    </row>
    <row r="65" spans="4:82" ht="12.75" hidden="1">
      <c r="D65" s="3"/>
      <c r="E65" s="3"/>
      <c r="F65" s="124"/>
      <c r="G65" s="123"/>
      <c r="H65" s="126"/>
      <c r="I65" s="3"/>
      <c r="J65" s="3"/>
      <c r="K65" s="3"/>
      <c r="L65" s="3"/>
      <c r="M65" s="3"/>
      <c r="N65" s="3"/>
      <c r="O65" s="3"/>
      <c r="P65" s="3"/>
      <c r="Q65" s="3"/>
      <c r="R65" s="3"/>
      <c r="S65" s="128"/>
      <c r="T65" s="10"/>
      <c r="CD65" s="449"/>
    </row>
    <row r="66" spans="4:82" ht="13.5" thickBot="1">
      <c r="D66" s="3"/>
      <c r="E66" s="3"/>
      <c r="F66" s="124"/>
      <c r="G66" s="123"/>
      <c r="H66" s="126"/>
      <c r="I66" s="3"/>
      <c r="J66" s="3"/>
      <c r="K66" s="3"/>
      <c r="L66" s="3"/>
      <c r="M66" s="3"/>
      <c r="N66" s="3"/>
      <c r="O66" s="3"/>
      <c r="P66" s="3"/>
      <c r="Q66" s="3"/>
      <c r="R66" s="3"/>
      <c r="S66" s="128"/>
      <c r="T66" s="10"/>
      <c r="CD66" s="449"/>
    </row>
    <row r="67" spans="4:82" ht="13.5" thickBot="1">
      <c r="D67" s="3"/>
      <c r="E67" s="294" t="s">
        <v>211</v>
      </c>
      <c r="F67" s="625" t="s">
        <v>301</v>
      </c>
      <c r="G67" s="581"/>
      <c r="H67" s="581"/>
      <c r="I67" s="97"/>
      <c r="J67" s="3"/>
      <c r="K67" s="3"/>
      <c r="L67" s="3"/>
      <c r="M67" s="3"/>
      <c r="N67" s="3"/>
      <c r="O67" s="3"/>
      <c r="P67" s="3"/>
      <c r="Q67" s="3"/>
      <c r="R67" s="3"/>
      <c r="S67" s="128"/>
      <c r="T67" s="10"/>
      <c r="CD67" s="449"/>
    </row>
    <row r="68" spans="4:82" ht="12.75">
      <c r="D68" s="3"/>
      <c r="E68" s="230" t="s">
        <v>325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28"/>
      <c r="T68" s="10"/>
      <c r="CD68" s="449"/>
    </row>
    <row r="69" spans="4:82" ht="12.75">
      <c r="D69" s="3"/>
      <c r="E69" s="3"/>
      <c r="F69" s="183">
        <f>(I6+I7)/2</f>
        <v>0</v>
      </c>
      <c r="G69" s="127" t="s">
        <v>320</v>
      </c>
      <c r="H69" s="125">
        <v>0.1</v>
      </c>
      <c r="I69" s="123" t="s">
        <v>320</v>
      </c>
      <c r="J69" s="125">
        <v>0.5</v>
      </c>
      <c r="K69" s="127" t="s">
        <v>156</v>
      </c>
      <c r="L69" s="183">
        <f>F69*H69*J69</f>
        <v>0</v>
      </c>
      <c r="M69" s="3"/>
      <c r="N69" s="3"/>
      <c r="O69" s="3"/>
      <c r="P69" s="3"/>
      <c r="Q69" s="3"/>
      <c r="R69" s="3"/>
      <c r="S69" s="3"/>
      <c r="T69" s="10"/>
      <c r="CD69" s="449"/>
    </row>
    <row r="70" spans="4:82" ht="15">
      <c r="D70" s="3"/>
      <c r="E70" s="3"/>
      <c r="F70" s="126" t="s">
        <v>204</v>
      </c>
      <c r="G70" s="127" t="s">
        <v>320</v>
      </c>
      <c r="H70" s="126" t="s">
        <v>195</v>
      </c>
      <c r="I70" s="127" t="s">
        <v>320</v>
      </c>
      <c r="J70" s="126" t="s">
        <v>196</v>
      </c>
      <c r="K70" s="127" t="s">
        <v>156</v>
      </c>
      <c r="L70" s="126" t="s">
        <v>203</v>
      </c>
      <c r="M70" s="3"/>
      <c r="N70" s="3"/>
      <c r="O70" s="3"/>
      <c r="P70" s="3"/>
      <c r="CD70" s="449"/>
    </row>
    <row r="71" spans="4:82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CD71" s="449"/>
    </row>
    <row r="72" spans="4:82" ht="12.75">
      <c r="D72" s="3"/>
      <c r="E72" s="3"/>
      <c r="F72" s="3"/>
      <c r="G72" s="3"/>
      <c r="H72" s="3"/>
      <c r="I72" s="3"/>
      <c r="J72" s="3"/>
      <c r="K72" s="3" t="s">
        <v>81</v>
      </c>
      <c r="L72" s="618">
        <f>T72</f>
        <v>0</v>
      </c>
      <c r="M72" s="619"/>
      <c r="N72" s="3"/>
      <c r="O72" s="3"/>
      <c r="P72" s="3"/>
      <c r="T72" s="54">
        <f>IF(E67&gt;0,G53*L69*K58,0)</f>
        <v>0</v>
      </c>
      <c r="CD72" s="449"/>
    </row>
    <row r="73" spans="4:82" ht="13.5" thickBot="1">
      <c r="D73" s="3"/>
      <c r="E73" s="23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T73" s="48"/>
      <c r="CD73" s="449"/>
    </row>
    <row r="74" spans="4:82" ht="13.5" thickBot="1">
      <c r="D74" s="3"/>
      <c r="E74" s="294" t="s">
        <v>211</v>
      </c>
      <c r="F74" s="625" t="s">
        <v>300</v>
      </c>
      <c r="G74" s="581"/>
      <c r="H74" s="581"/>
      <c r="I74" s="3"/>
      <c r="J74" s="3"/>
      <c r="K74" s="3"/>
      <c r="L74" s="3"/>
      <c r="M74" s="3"/>
      <c r="N74" s="3"/>
      <c r="O74" s="3"/>
      <c r="P74" s="3"/>
      <c r="T74" s="48"/>
      <c r="CD74" s="449"/>
    </row>
    <row r="75" spans="4:82" ht="12.75">
      <c r="D75" s="3"/>
      <c r="E75" s="230" t="s">
        <v>325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T75" s="48"/>
      <c r="CD75" s="449"/>
    </row>
    <row r="76" spans="4:82" ht="12.75">
      <c r="D76" s="3"/>
      <c r="E76" s="3"/>
      <c r="F76" s="183">
        <f>(I6+I7)/2</f>
        <v>0</v>
      </c>
      <c r="G76" s="127" t="s">
        <v>320</v>
      </c>
      <c r="H76" s="125">
        <v>0.07</v>
      </c>
      <c r="I76" s="123" t="s">
        <v>320</v>
      </c>
      <c r="J76" s="125">
        <v>0.5</v>
      </c>
      <c r="K76" s="127" t="s">
        <v>156</v>
      </c>
      <c r="L76" s="183">
        <f>F76*H76*J76</f>
        <v>0</v>
      </c>
      <c r="M76" s="3"/>
      <c r="N76" s="3"/>
      <c r="O76" s="3"/>
      <c r="P76" s="3"/>
      <c r="T76" s="48"/>
      <c r="CD76" s="449"/>
    </row>
    <row r="77" spans="4:82" ht="15">
      <c r="D77" s="3"/>
      <c r="E77" s="3"/>
      <c r="F77" s="126" t="s">
        <v>204</v>
      </c>
      <c r="G77" s="127" t="s">
        <v>320</v>
      </c>
      <c r="H77" s="126" t="s">
        <v>195</v>
      </c>
      <c r="I77" s="127" t="s">
        <v>320</v>
      </c>
      <c r="J77" s="126" t="s">
        <v>196</v>
      </c>
      <c r="K77" s="127" t="s">
        <v>156</v>
      </c>
      <c r="L77" s="126" t="s">
        <v>209</v>
      </c>
      <c r="M77" s="3"/>
      <c r="N77" s="3"/>
      <c r="O77" s="3"/>
      <c r="P77" s="3"/>
      <c r="T77" s="48"/>
      <c r="CD77" s="449"/>
    </row>
    <row r="78" spans="4:82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T78" s="48"/>
      <c r="CD78" s="449"/>
    </row>
    <row r="79" spans="4:82" ht="12.75">
      <c r="D79" s="3"/>
      <c r="E79" s="3"/>
      <c r="F79" s="3"/>
      <c r="G79" s="3"/>
      <c r="H79" s="3"/>
      <c r="I79" s="3"/>
      <c r="J79" s="3"/>
      <c r="K79" s="3" t="s">
        <v>81</v>
      </c>
      <c r="L79" s="618">
        <f>T79</f>
        <v>0</v>
      </c>
      <c r="M79" s="619"/>
      <c r="N79" s="3"/>
      <c r="O79" s="3"/>
      <c r="P79" s="3"/>
      <c r="T79" s="54">
        <f>IF(E74&gt;0,G53*L76*K59,0)</f>
        <v>0</v>
      </c>
      <c r="CD79" s="449"/>
    </row>
    <row r="80" spans="4:82" ht="12.75">
      <c r="D80" s="3"/>
      <c r="E80" s="3"/>
      <c r="F80" s="3"/>
      <c r="G80" s="10"/>
      <c r="H80" s="3"/>
      <c r="I80" s="3"/>
      <c r="J80" s="3"/>
      <c r="K80" s="3"/>
      <c r="L80" s="3"/>
      <c r="M80" s="3"/>
      <c r="N80" s="3"/>
      <c r="O80" s="3"/>
      <c r="P80" s="3"/>
      <c r="CD80" s="449"/>
    </row>
    <row r="81" spans="4:82" ht="12.75">
      <c r="D81" s="3"/>
      <c r="E81" s="3"/>
      <c r="F81" s="3"/>
      <c r="G81" s="10"/>
      <c r="H81" s="3"/>
      <c r="I81" s="3"/>
      <c r="J81" s="3"/>
      <c r="K81" s="3"/>
      <c r="L81" s="3"/>
      <c r="M81" s="3"/>
      <c r="N81" s="3"/>
      <c r="O81" s="3"/>
      <c r="P81" s="3"/>
      <c r="CD81" s="64"/>
    </row>
  </sheetData>
  <sheetProtection password="8090" sheet="1" objects="1" scenarios="1"/>
  <mergeCells count="27">
    <mergeCell ref="D2:P2"/>
    <mergeCell ref="M53:N53"/>
    <mergeCell ref="H5:K5"/>
    <mergeCell ref="I4:J4"/>
    <mergeCell ref="I6:J6"/>
    <mergeCell ref="I7:J7"/>
    <mergeCell ref="F6:G6"/>
    <mergeCell ref="F7:G7"/>
    <mergeCell ref="F48:G48"/>
    <mergeCell ref="J48:K48"/>
    <mergeCell ref="R49:T49"/>
    <mergeCell ref="I58:J58"/>
    <mergeCell ref="I59:J59"/>
    <mergeCell ref="F74:H74"/>
    <mergeCell ref="F67:H67"/>
    <mergeCell ref="G53:H53"/>
    <mergeCell ref="E59:F59"/>
    <mergeCell ref="F51:N51"/>
    <mergeCell ref="E58:F58"/>
    <mergeCell ref="E57:G57"/>
    <mergeCell ref="L79:M79"/>
    <mergeCell ref="M54:N54"/>
    <mergeCell ref="F62:N62"/>
    <mergeCell ref="F61:N61"/>
    <mergeCell ref="F63:N63"/>
    <mergeCell ref="L72:M72"/>
    <mergeCell ref="I57:K57"/>
  </mergeCells>
  <printOptions horizontalCentered="1"/>
  <pageMargins left="0.3937007874015748" right="0.3937007874015748" top="0.3937007874015748" bottom="0.35433070866141736" header="0.2755905511811024" footer="0.2362204724409449"/>
  <pageSetup horizontalDpi="600" verticalDpi="600" orientation="portrait" paperSize="9" scale="78" r:id="rId1"/>
  <headerFooter alignWithMargins="0">
    <oddFooter>&amp;Cfoglio "CD_U1_U2_Monetizz."&amp;Rpag.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N127"/>
  <sheetViews>
    <sheetView workbookViewId="0" topLeftCell="C1">
      <selection activeCell="AQ12" sqref="AQ12"/>
    </sheetView>
  </sheetViews>
  <sheetFormatPr defaultColWidth="9.140625" defaultRowHeight="12.75"/>
  <cols>
    <col min="1" max="1" width="4.28125" style="6" hidden="1" customWidth="1"/>
    <col min="2" max="2" width="4.8515625" style="6" hidden="1" customWidth="1"/>
    <col min="4" max="4" width="1.8515625" style="0" customWidth="1"/>
    <col min="5" max="5" width="3.28125" style="0" customWidth="1"/>
    <col min="6" max="6" width="12.140625" style="0" customWidth="1"/>
    <col min="7" max="7" width="9.7109375" style="0" bestFit="1" customWidth="1"/>
    <col min="8" max="8" width="10.8515625" style="0" customWidth="1"/>
    <col min="9" max="9" width="16.421875" style="0" customWidth="1"/>
    <col min="10" max="10" width="13.28125" style="0" customWidth="1"/>
    <col min="11" max="11" width="4.8515625" style="0" customWidth="1"/>
    <col min="12" max="12" width="5.28125" style="0" customWidth="1"/>
    <col min="13" max="13" width="5.00390625" style="0" customWidth="1"/>
    <col min="14" max="14" width="8.8515625" style="6" customWidth="1"/>
    <col min="15" max="15" width="9.7109375" style="0" customWidth="1"/>
    <col min="16" max="16" width="5.28125" style="0" customWidth="1"/>
    <col min="17" max="17" width="9.7109375" style="6" bestFit="1" customWidth="1"/>
    <col min="18" max="18" width="3.421875" style="0" customWidth="1"/>
    <col min="19" max="19" width="8.7109375" style="0" hidden="1" customWidth="1"/>
    <col min="20" max="20" width="11.140625" style="6" hidden="1" customWidth="1"/>
    <col min="21" max="21" width="11.28125" style="6" hidden="1" customWidth="1"/>
    <col min="22" max="22" width="9.7109375" style="0" hidden="1" customWidth="1"/>
    <col min="23" max="23" width="2.7109375" style="0" hidden="1" customWidth="1"/>
    <col min="24" max="24" width="3.140625" style="0" hidden="1" customWidth="1"/>
    <col min="25" max="25" width="7.57421875" style="6" hidden="1" customWidth="1"/>
    <col min="26" max="26" width="4.8515625" style="0" hidden="1" customWidth="1"/>
    <col min="27" max="27" width="3.28125" style="0" hidden="1" customWidth="1"/>
    <col min="28" max="28" width="6.00390625" style="0" hidden="1" customWidth="1"/>
    <col min="29" max="29" width="9.7109375" style="0" hidden="1" customWidth="1"/>
    <col min="30" max="39" width="0" style="0" hidden="1" customWidth="1"/>
    <col min="40" max="40" width="1.57421875" style="0" customWidth="1"/>
  </cols>
  <sheetData>
    <row r="2" spans="4:40" ht="24" customHeight="1">
      <c r="D2" s="3"/>
      <c r="E2" s="3"/>
      <c r="F2" s="609" t="s">
        <v>504</v>
      </c>
      <c r="G2" s="609"/>
      <c r="H2" s="609"/>
      <c r="I2" s="609"/>
      <c r="J2" s="635" t="str">
        <f>IF(A3+B3=2,"Inserire l'uso di progetto e l'uso legittimo","")</f>
        <v>Inserire l'uso di progetto e l'uso legittimo</v>
      </c>
      <c r="K2" s="635"/>
      <c r="L2" s="635"/>
      <c r="M2" s="635"/>
      <c r="N2" s="635"/>
      <c r="O2" s="635"/>
      <c r="P2" s="3"/>
      <c r="Q2" s="10"/>
      <c r="R2" s="3"/>
      <c r="AN2" s="449"/>
    </row>
    <row r="3" spans="1:40" ht="12.75">
      <c r="A3" s="48">
        <f>IF(I3=0,1,0)</f>
        <v>1</v>
      </c>
      <c r="B3" s="48">
        <f>IF(P3=0,1,0)</f>
        <v>1</v>
      </c>
      <c r="D3" s="3"/>
      <c r="E3" s="3"/>
      <c r="F3" s="3"/>
      <c r="G3" s="3"/>
      <c r="H3" s="98" t="s">
        <v>162</v>
      </c>
      <c r="I3" s="447"/>
      <c r="J3" s="3"/>
      <c r="K3" s="3"/>
      <c r="L3" s="3"/>
      <c r="M3" s="3"/>
      <c r="N3" s="10"/>
      <c r="O3" s="98" t="s">
        <v>162</v>
      </c>
      <c r="P3" s="639"/>
      <c r="Q3" s="640"/>
      <c r="R3" s="3"/>
      <c r="AN3" s="449"/>
    </row>
    <row r="4" spans="4:40" ht="12.75">
      <c r="D4" s="3"/>
      <c r="E4" s="3"/>
      <c r="F4" s="633" t="s">
        <v>62</v>
      </c>
      <c r="G4" s="633"/>
      <c r="H4" s="633"/>
      <c r="I4" s="411"/>
      <c r="J4" s="3"/>
      <c r="K4" s="633" t="s">
        <v>64</v>
      </c>
      <c r="L4" s="633"/>
      <c r="M4" s="633"/>
      <c r="N4" s="633"/>
      <c r="O4" s="633"/>
      <c r="P4" s="642"/>
      <c r="Q4" s="643"/>
      <c r="R4" s="3"/>
      <c r="U4" s="264">
        <f>(I4+I5)/2</f>
        <v>0</v>
      </c>
      <c r="V4" s="265">
        <f>(P4+P5)/2</f>
        <v>0</v>
      </c>
      <c r="AN4" s="449"/>
    </row>
    <row r="5" spans="4:40" ht="12.75">
      <c r="D5" s="3"/>
      <c r="E5" s="3"/>
      <c r="F5" s="633" t="s">
        <v>63</v>
      </c>
      <c r="G5" s="633"/>
      <c r="H5" s="633"/>
      <c r="I5" s="411"/>
      <c r="J5" s="3"/>
      <c r="K5" s="633" t="s">
        <v>65</v>
      </c>
      <c r="L5" s="633"/>
      <c r="M5" s="633"/>
      <c r="N5" s="633"/>
      <c r="O5" s="633"/>
      <c r="P5" s="642"/>
      <c r="Q5" s="643"/>
      <c r="R5" s="3"/>
      <c r="AN5" s="449"/>
    </row>
    <row r="6" spans="4:40" ht="12.75">
      <c r="D6" s="3"/>
      <c r="E6" s="3"/>
      <c r="F6" s="3"/>
      <c r="G6" s="3"/>
      <c r="H6" s="3"/>
      <c r="I6" s="3"/>
      <c r="J6" s="3"/>
      <c r="K6" s="3"/>
      <c r="L6" s="3"/>
      <c r="M6" s="3"/>
      <c r="N6" s="10"/>
      <c r="O6" s="3"/>
      <c r="P6" s="3"/>
      <c r="Q6" s="10"/>
      <c r="R6" s="3"/>
      <c r="AN6" s="449"/>
    </row>
    <row r="7" spans="4:40" ht="12.75">
      <c r="D7" s="3"/>
      <c r="E7" s="3"/>
      <c r="F7" s="641" t="s">
        <v>466</v>
      </c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3"/>
      <c r="AN7" s="449"/>
    </row>
    <row r="8" spans="4:40" ht="12.75">
      <c r="D8" s="3"/>
      <c r="E8" s="3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3"/>
      <c r="AN8" s="449"/>
    </row>
    <row r="9" spans="4:40" ht="12.75">
      <c r="D9" s="3"/>
      <c r="E9" s="3"/>
      <c r="F9" s="3"/>
      <c r="G9" s="3"/>
      <c r="H9" s="3"/>
      <c r="I9" s="3"/>
      <c r="J9" s="3"/>
      <c r="K9" s="3"/>
      <c r="L9" s="3"/>
      <c r="M9" s="3"/>
      <c r="N9" s="10"/>
      <c r="O9" s="3"/>
      <c r="P9" s="3"/>
      <c r="Q9" s="10"/>
      <c r="R9" s="3"/>
      <c r="U9" s="77" t="s">
        <v>185</v>
      </c>
      <c r="AN9" s="449"/>
    </row>
    <row r="10" spans="4:40" ht="12.75">
      <c r="D10" s="3"/>
      <c r="E10" s="3"/>
      <c r="G10" s="3"/>
      <c r="H10" s="3"/>
      <c r="I10" s="3"/>
      <c r="J10" s="3"/>
      <c r="K10" s="3"/>
      <c r="L10" s="3"/>
      <c r="M10" s="3"/>
      <c r="N10" s="10"/>
      <c r="O10" s="3"/>
      <c r="P10" s="3"/>
      <c r="Q10" s="10"/>
      <c r="R10" s="3"/>
      <c r="S10" s="3"/>
      <c r="AN10" s="449"/>
    </row>
    <row r="11" spans="4:40" ht="12.75">
      <c r="D11" s="3"/>
      <c r="E11" s="3"/>
      <c r="F11" s="3"/>
      <c r="G11" s="551" t="s">
        <v>361</v>
      </c>
      <c r="H11" s="551"/>
      <c r="I11" s="551"/>
      <c r="J11" s="551"/>
      <c r="K11" s="551"/>
      <c r="L11" s="551"/>
      <c r="M11" s="551"/>
      <c r="N11" s="551"/>
      <c r="O11" s="551"/>
      <c r="P11" s="3"/>
      <c r="Q11" s="10"/>
      <c r="R11" s="3"/>
      <c r="S11" s="3"/>
      <c r="AN11" s="449"/>
    </row>
    <row r="12" spans="4:40" ht="12.75">
      <c r="D12" s="3"/>
      <c r="E12" s="3"/>
      <c r="F12" s="3"/>
      <c r="G12" s="551"/>
      <c r="H12" s="551"/>
      <c r="I12" s="551"/>
      <c r="J12" s="551"/>
      <c r="K12" s="551"/>
      <c r="L12" s="551"/>
      <c r="M12" s="551"/>
      <c r="N12" s="551"/>
      <c r="O12" s="551"/>
      <c r="P12" s="3"/>
      <c r="Q12" s="10"/>
      <c r="R12" s="3"/>
      <c r="S12" s="3"/>
      <c r="AN12" s="449"/>
    </row>
    <row r="13" spans="4:40" ht="12.75">
      <c r="D13" s="3"/>
      <c r="E13" s="3"/>
      <c r="F13" s="96" t="s">
        <v>312</v>
      </c>
      <c r="G13" s="5" t="s">
        <v>313</v>
      </c>
      <c r="H13" s="3"/>
      <c r="I13" s="3"/>
      <c r="J13" s="3"/>
      <c r="K13" s="3"/>
      <c r="L13" s="3"/>
      <c r="M13" s="3"/>
      <c r="N13" s="10"/>
      <c r="O13" s="3"/>
      <c r="P13" s="3"/>
      <c r="Q13" s="10"/>
      <c r="R13" s="3"/>
      <c r="S13" s="3"/>
      <c r="AN13" s="449"/>
    </row>
    <row r="14" spans="4:40" ht="12.75">
      <c r="D14" s="3"/>
      <c r="E14" s="3"/>
      <c r="F14" s="3"/>
      <c r="G14" s="3"/>
      <c r="H14" s="3"/>
      <c r="I14" s="3"/>
      <c r="J14" s="3"/>
      <c r="K14" s="3"/>
      <c r="L14" s="3"/>
      <c r="M14" s="3"/>
      <c r="N14" s="10"/>
      <c r="O14" s="3"/>
      <c r="P14" s="3"/>
      <c r="Q14" s="10"/>
      <c r="R14" s="3"/>
      <c r="S14" s="3"/>
      <c r="AN14" s="449"/>
    </row>
    <row r="15" spans="4:40" ht="12.75">
      <c r="D15" s="3"/>
      <c r="E15" s="3"/>
      <c r="F15" s="94" t="s">
        <v>212</v>
      </c>
      <c r="G15" s="3"/>
      <c r="H15" s="3"/>
      <c r="I15" s="3"/>
      <c r="J15" s="3"/>
      <c r="K15" s="3"/>
      <c r="L15" s="3"/>
      <c r="M15" s="3"/>
      <c r="N15" s="10"/>
      <c r="O15" s="3"/>
      <c r="P15" s="3"/>
      <c r="Q15" s="10"/>
      <c r="R15" s="3"/>
      <c r="S15" s="3"/>
      <c r="AN15" s="449"/>
    </row>
    <row r="16" spans="4:40" ht="12.75">
      <c r="D16" s="3"/>
      <c r="E16" s="3"/>
      <c r="F16" s="3"/>
      <c r="G16" s="3"/>
      <c r="H16" s="3"/>
      <c r="I16" s="3"/>
      <c r="J16" s="3"/>
      <c r="K16" s="3"/>
      <c r="L16" s="3"/>
      <c r="M16" s="3"/>
      <c r="N16" s="10"/>
      <c r="O16" s="3"/>
      <c r="P16" s="3"/>
      <c r="Q16" s="10"/>
      <c r="R16" s="3"/>
      <c r="S16" s="3"/>
      <c r="AN16" s="449"/>
    </row>
    <row r="17" spans="4:40" ht="12.75">
      <c r="D17" s="3"/>
      <c r="E17" s="3"/>
      <c r="F17" s="3" t="s">
        <v>231</v>
      </c>
      <c r="G17" s="3"/>
      <c r="H17" s="3"/>
      <c r="I17" s="3"/>
      <c r="J17" s="3"/>
      <c r="K17" s="3"/>
      <c r="L17" s="3"/>
      <c r="M17" s="3"/>
      <c r="N17" s="10"/>
      <c r="O17" s="3"/>
      <c r="P17" s="3"/>
      <c r="Q17" s="10"/>
      <c r="R17" s="3"/>
      <c r="S17" s="3"/>
      <c r="AN17" s="449"/>
    </row>
    <row r="18" spans="4:40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3"/>
      <c r="P18" s="3"/>
      <c r="Q18" s="10"/>
      <c r="R18" s="3"/>
      <c r="S18" s="3"/>
      <c r="V18" s="11" t="s">
        <v>335</v>
      </c>
      <c r="AN18" s="449"/>
    </row>
    <row r="19" spans="4:40" ht="12.75">
      <c r="D19" s="3"/>
      <c r="E19" s="3"/>
      <c r="F19" s="477" t="s">
        <v>331</v>
      </c>
      <c r="G19" s="466"/>
      <c r="H19" s="564" t="s">
        <v>213</v>
      </c>
      <c r="I19" s="564" t="s">
        <v>332</v>
      </c>
      <c r="J19" s="477" t="s">
        <v>333</v>
      </c>
      <c r="K19" s="466"/>
      <c r="L19" s="477" t="s">
        <v>214</v>
      </c>
      <c r="M19" s="466"/>
      <c r="N19" s="477" t="s">
        <v>334</v>
      </c>
      <c r="O19" s="466"/>
      <c r="P19" s="3"/>
      <c r="Q19" s="10"/>
      <c r="R19" s="3"/>
      <c r="S19" s="3"/>
      <c r="AN19" s="449"/>
    </row>
    <row r="20" spans="4:40" ht="12.75">
      <c r="D20" s="3"/>
      <c r="E20" s="3"/>
      <c r="F20" s="467"/>
      <c r="G20" s="468"/>
      <c r="H20" s="565"/>
      <c r="I20" s="565"/>
      <c r="J20" s="467"/>
      <c r="K20" s="468"/>
      <c r="L20" s="467"/>
      <c r="M20" s="468"/>
      <c r="N20" s="467"/>
      <c r="O20" s="468"/>
      <c r="P20" s="3"/>
      <c r="Q20" s="10"/>
      <c r="R20" s="3"/>
      <c r="S20" s="3"/>
      <c r="T20" s="49"/>
      <c r="U20" s="49"/>
      <c r="V20" s="50"/>
      <c r="W20" s="50"/>
      <c r="X20" s="50"/>
      <c r="Y20" s="49"/>
      <c r="Z20" s="50"/>
      <c r="AA20" s="50"/>
      <c r="AB20" s="50"/>
      <c r="AC20" s="50"/>
      <c r="AN20" s="449"/>
    </row>
    <row r="21" spans="4:40" ht="12.75">
      <c r="D21" s="3"/>
      <c r="E21" s="3"/>
      <c r="F21" s="459"/>
      <c r="G21" s="460"/>
      <c r="H21" s="566"/>
      <c r="I21" s="566"/>
      <c r="J21" s="459"/>
      <c r="K21" s="460"/>
      <c r="L21" s="459"/>
      <c r="M21" s="460"/>
      <c r="N21" s="459"/>
      <c r="O21" s="460"/>
      <c r="P21" s="3"/>
      <c r="Q21" s="10"/>
      <c r="R21" s="3"/>
      <c r="S21" s="3"/>
      <c r="T21" s="155"/>
      <c r="U21" s="155" t="s">
        <v>51</v>
      </c>
      <c r="V21" s="156"/>
      <c r="W21" s="156"/>
      <c r="X21" s="156"/>
      <c r="Y21" s="155"/>
      <c r="Z21" s="156"/>
      <c r="AA21" s="156"/>
      <c r="AB21" s="156"/>
      <c r="AC21" s="156"/>
      <c r="AN21" s="449"/>
    </row>
    <row r="22" spans="4:40" ht="12.75">
      <c r="D22" s="3"/>
      <c r="E22" s="3"/>
      <c r="F22" s="559" t="s">
        <v>215</v>
      </c>
      <c r="G22" s="560"/>
      <c r="H22" s="25" t="s">
        <v>221</v>
      </c>
      <c r="I22" s="25" t="s">
        <v>222</v>
      </c>
      <c r="J22" s="463" t="s">
        <v>223</v>
      </c>
      <c r="K22" s="465"/>
      <c r="L22" s="559" t="s">
        <v>224</v>
      </c>
      <c r="M22" s="560"/>
      <c r="N22" s="559" t="s">
        <v>225</v>
      </c>
      <c r="O22" s="560"/>
      <c r="P22" s="3"/>
      <c r="Q22" s="10"/>
      <c r="R22" s="3"/>
      <c r="S22" s="3"/>
      <c r="T22" s="54">
        <f>IF(G35&gt;0,1,"")</f>
      </c>
      <c r="U22" s="54">
        <f>IF(G35&gt;0,1,"")</f>
      </c>
      <c r="V22" s="54">
        <f>IF(G35=0,1,"")</f>
        <v>1</v>
      </c>
      <c r="W22" s="54"/>
      <c r="X22" s="54"/>
      <c r="Y22" s="54">
        <f>IF(G35=0,1,"")</f>
        <v>1</v>
      </c>
      <c r="Z22" s="38"/>
      <c r="AA22" s="38"/>
      <c r="AB22" s="38"/>
      <c r="AC22" s="38"/>
      <c r="AN22" s="449"/>
    </row>
    <row r="23" spans="4:40" ht="12.75">
      <c r="D23" s="3"/>
      <c r="E23" s="3"/>
      <c r="F23" s="559" t="s">
        <v>216</v>
      </c>
      <c r="G23" s="560"/>
      <c r="H23" s="412"/>
      <c r="I23" s="413"/>
      <c r="J23" s="545">
        <f>IF(I23&gt;0,I23/$I$30,"")</f>
      </c>
      <c r="K23" s="546"/>
      <c r="L23" s="463">
        <v>0</v>
      </c>
      <c r="M23" s="465"/>
      <c r="N23" s="561">
        <f>IF(I23&gt;0,J23*L23/100,"")</f>
      </c>
      <c r="O23" s="562"/>
      <c r="P23" s="3"/>
      <c r="Q23" s="10"/>
      <c r="R23" s="3"/>
      <c r="S23" s="3"/>
      <c r="T23" s="54">
        <f>IF(G36=0,6,"")</f>
        <v>6</v>
      </c>
      <c r="U23" s="54">
        <f>IF(G36&gt;0,15,"")</f>
      </c>
      <c r="V23" s="54">
        <f>IF(G36&gt;0,30,"")</f>
      </c>
      <c r="W23" s="54"/>
      <c r="X23" s="54"/>
      <c r="Y23" s="54">
        <f>IF(G36=0,50,"")</f>
        <v>50</v>
      </c>
      <c r="Z23" s="38"/>
      <c r="AA23" s="38"/>
      <c r="AB23" s="38"/>
      <c r="AC23" s="38"/>
      <c r="AN23" s="449"/>
    </row>
    <row r="24" spans="4:40" ht="12.75">
      <c r="D24" s="3"/>
      <c r="E24" s="3"/>
      <c r="F24" s="559" t="s">
        <v>217</v>
      </c>
      <c r="G24" s="560"/>
      <c r="H24" s="412"/>
      <c r="I24" s="413"/>
      <c r="J24" s="545">
        <f>IF(I24&gt;0,I24/$I$30,"")</f>
      </c>
      <c r="K24" s="546"/>
      <c r="L24" s="463">
        <v>5</v>
      </c>
      <c r="M24" s="465"/>
      <c r="N24" s="561">
        <f>IF(I24&gt;0,J24*L24/100,"")</f>
      </c>
      <c r="O24" s="562"/>
      <c r="P24" s="3"/>
      <c r="Q24" s="10"/>
      <c r="R24" s="3"/>
      <c r="S24" s="3"/>
      <c r="T24" s="54">
        <f>SUM(T22:T23)</f>
        <v>6</v>
      </c>
      <c r="U24" s="54">
        <f>SUM(U22:U23)</f>
        <v>0</v>
      </c>
      <c r="V24" s="54">
        <f>SUM(V22:V23)</f>
        <v>1</v>
      </c>
      <c r="W24" s="54"/>
      <c r="X24" s="54"/>
      <c r="Y24" s="54">
        <f>SUM(Y22:Y23)</f>
        <v>51</v>
      </c>
      <c r="Z24" s="38"/>
      <c r="AA24" s="38"/>
      <c r="AB24" s="38"/>
      <c r="AC24" s="38"/>
      <c r="AN24" s="449"/>
    </row>
    <row r="25" spans="4:40" ht="12.75">
      <c r="D25" s="3"/>
      <c r="E25" s="3"/>
      <c r="F25" s="559" t="s">
        <v>218</v>
      </c>
      <c r="G25" s="560"/>
      <c r="H25" s="412"/>
      <c r="I25" s="413"/>
      <c r="J25" s="545">
        <f>IF(I25&gt;0,I25/$I$30,"")</f>
      </c>
      <c r="K25" s="546"/>
      <c r="L25" s="463">
        <v>15</v>
      </c>
      <c r="M25" s="465"/>
      <c r="N25" s="561">
        <f>IF(I25&gt;0,J25*L25/100,"")</f>
      </c>
      <c r="O25" s="562"/>
      <c r="P25" s="3"/>
      <c r="Q25" s="10"/>
      <c r="R25" s="3"/>
      <c r="S25" s="3"/>
      <c r="T25" s="160"/>
      <c r="U25" s="160"/>
      <c r="V25" s="161"/>
      <c r="W25" s="160"/>
      <c r="X25" s="162"/>
      <c r="Y25" s="160"/>
      <c r="Z25" s="162"/>
      <c r="AA25" s="162"/>
      <c r="AB25" s="162"/>
      <c r="AC25" s="162"/>
      <c r="AN25" s="449"/>
    </row>
    <row r="26" spans="4:40" ht="12.75">
      <c r="D26" s="3"/>
      <c r="E26" s="3"/>
      <c r="F26" s="559" t="s">
        <v>219</v>
      </c>
      <c r="G26" s="560"/>
      <c r="H26" s="412"/>
      <c r="I26" s="413"/>
      <c r="J26" s="545">
        <f>IF(I26&gt;0,I26/$I$30,"")</f>
      </c>
      <c r="K26" s="546"/>
      <c r="L26" s="463">
        <v>30</v>
      </c>
      <c r="M26" s="465"/>
      <c r="N26" s="561">
        <f>IF(I26&gt;0,J26*L26/100,"")</f>
      </c>
      <c r="O26" s="562"/>
      <c r="P26" s="3"/>
      <c r="Q26" s="10"/>
      <c r="R26" s="3"/>
      <c r="S26" s="3"/>
      <c r="T26" s="54">
        <f>IF(T24=7,0,"")</f>
      </c>
      <c r="U26" s="48">
        <f>U27</f>
      </c>
      <c r="V26" s="54">
        <f>IF(V24=31,0,"")</f>
      </c>
      <c r="W26" s="54"/>
      <c r="X26" s="54"/>
      <c r="Y26" s="54">
        <f>IF(Y24=51,0,"")</f>
        <v>0</v>
      </c>
      <c r="Z26" s="38"/>
      <c r="AA26" s="38"/>
      <c r="AB26" s="38">
        <f>SUM(T26:Y26)</f>
        <v>0</v>
      </c>
      <c r="AC26" s="38"/>
      <c r="AN26" s="449"/>
    </row>
    <row r="27" spans="4:40" ht="12.75">
      <c r="D27" s="3"/>
      <c r="E27" s="3"/>
      <c r="F27" s="559" t="s">
        <v>220</v>
      </c>
      <c r="G27" s="560"/>
      <c r="H27" s="412"/>
      <c r="I27" s="413"/>
      <c r="J27" s="545">
        <f>IF(I27&gt;0,I27/$I$30,"")</f>
      </c>
      <c r="K27" s="546"/>
      <c r="L27" s="463">
        <v>50</v>
      </c>
      <c r="M27" s="465"/>
      <c r="N27" s="561">
        <f>IF(I27&gt;0,J27*L27/100,"")</f>
      </c>
      <c r="O27" s="562"/>
      <c r="P27" s="3"/>
      <c r="Q27" s="10"/>
      <c r="R27" s="3"/>
      <c r="S27" s="3"/>
      <c r="T27" s="157"/>
      <c r="U27" s="54">
        <f>IF(U24=16,G36/G35,"")</f>
      </c>
      <c r="V27" s="158"/>
      <c r="W27" s="157"/>
      <c r="X27" s="159"/>
      <c r="Y27" s="157"/>
      <c r="Z27" s="159"/>
      <c r="AA27" s="159"/>
      <c r="AB27" s="159"/>
      <c r="AC27" s="159"/>
      <c r="AN27" s="449"/>
    </row>
    <row r="28" spans="4:40" ht="6" customHeight="1">
      <c r="D28" s="3"/>
      <c r="E28" s="3"/>
      <c r="F28" s="3"/>
      <c r="G28" s="3"/>
      <c r="H28" s="3"/>
      <c r="I28" s="3"/>
      <c r="J28" s="3"/>
      <c r="K28" s="3"/>
      <c r="L28" s="3"/>
      <c r="M28" s="3"/>
      <c r="N28" s="10"/>
      <c r="O28" s="3"/>
      <c r="P28" s="3"/>
      <c r="Q28" s="10"/>
      <c r="R28" s="3"/>
      <c r="S28" s="3"/>
      <c r="U28" s="10"/>
      <c r="V28" s="3"/>
      <c r="W28" s="3"/>
      <c r="X28" s="3"/>
      <c r="AN28" s="449"/>
    </row>
    <row r="29" spans="4:40" ht="12.75">
      <c r="D29" s="3"/>
      <c r="E29" s="3"/>
      <c r="F29" s="67" t="s">
        <v>417</v>
      </c>
      <c r="G29" s="3"/>
      <c r="H29" s="3"/>
      <c r="I29" s="7" t="s">
        <v>226</v>
      </c>
      <c r="J29" s="3"/>
      <c r="K29" s="3"/>
      <c r="L29" s="3"/>
      <c r="M29" s="3"/>
      <c r="N29" s="463" t="s">
        <v>227</v>
      </c>
      <c r="O29" s="465"/>
      <c r="P29" s="26" t="s">
        <v>228</v>
      </c>
      <c r="Q29" s="176">
        <f>SUM(N23:O27)</f>
        <v>0</v>
      </c>
      <c r="R29" s="55" t="s">
        <v>229</v>
      </c>
      <c r="S29" s="284"/>
      <c r="T29" s="47"/>
      <c r="U29" s="10"/>
      <c r="V29" s="3"/>
      <c r="W29" s="3"/>
      <c r="X29" s="3"/>
      <c r="AN29" s="449"/>
    </row>
    <row r="30" spans="4:40" ht="12.75">
      <c r="D30" s="3"/>
      <c r="E30" s="3"/>
      <c r="F30" s="67" t="s">
        <v>418</v>
      </c>
      <c r="G30" s="3"/>
      <c r="H30" s="3"/>
      <c r="I30" s="39">
        <f>SUM(I23:I27)</f>
        <v>0</v>
      </c>
      <c r="J30" s="3"/>
      <c r="K30" s="3"/>
      <c r="L30" s="3"/>
      <c r="M30" s="3"/>
      <c r="N30" s="10"/>
      <c r="O30" s="3"/>
      <c r="P30" s="3"/>
      <c r="Q30" s="10"/>
      <c r="R30" s="3"/>
      <c r="S30" s="3"/>
      <c r="AN30" s="449"/>
    </row>
    <row r="31" spans="4:40" ht="12.75" hidden="1">
      <c r="D31" s="3"/>
      <c r="E31" s="3"/>
      <c r="F31" s="3"/>
      <c r="G31" s="3"/>
      <c r="H31" s="3"/>
      <c r="I31" s="3"/>
      <c r="J31" s="3"/>
      <c r="K31" s="3"/>
      <c r="L31" s="3"/>
      <c r="M31" s="3"/>
      <c r="N31" s="10"/>
      <c r="O31" s="3"/>
      <c r="P31" s="3"/>
      <c r="Q31" s="10"/>
      <c r="R31" s="3"/>
      <c r="S31" s="3"/>
      <c r="AN31" s="449"/>
    </row>
    <row r="32" spans="4:4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10"/>
      <c r="O32" s="3"/>
      <c r="P32" s="3"/>
      <c r="Q32" s="10"/>
      <c r="R32" s="3"/>
      <c r="S32" s="3"/>
      <c r="AN32" s="449"/>
    </row>
    <row r="33" spans="4:40" ht="12.75">
      <c r="D33" s="3"/>
      <c r="E33" s="3"/>
      <c r="F33" s="3" t="s">
        <v>230</v>
      </c>
      <c r="G33" s="3"/>
      <c r="H33" s="3"/>
      <c r="I33" s="3"/>
      <c r="J33" s="3"/>
      <c r="K33" s="3"/>
      <c r="L33" s="3"/>
      <c r="M33" s="3"/>
      <c r="N33" s="10"/>
      <c r="O33" s="3"/>
      <c r="P33" s="3"/>
      <c r="Q33" s="10"/>
      <c r="R33" s="3"/>
      <c r="S33" s="3"/>
      <c r="AN33" s="449"/>
    </row>
    <row r="34" spans="1:40" ht="12.75">
      <c r="A34" s="10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0"/>
      <c r="O34" s="3"/>
      <c r="P34" s="3"/>
      <c r="Q34" s="10"/>
      <c r="R34" s="3"/>
      <c r="S34" s="3"/>
      <c r="AA34" s="3"/>
      <c r="AB34" s="3"/>
      <c r="AC34" s="3"/>
      <c r="AD34" s="3"/>
      <c r="AE34" s="3"/>
      <c r="AF34" s="3"/>
      <c r="AG34" s="3"/>
      <c r="AN34" s="449"/>
    </row>
    <row r="35" spans="1:40" ht="12.75" customHeight="1">
      <c r="A35" s="10"/>
      <c r="B35" s="10"/>
      <c r="C35" s="3"/>
      <c r="D35" s="3"/>
      <c r="E35" s="3"/>
      <c r="F35" s="26" t="s">
        <v>233</v>
      </c>
      <c r="G35" s="40">
        <f>I30</f>
        <v>0</v>
      </c>
      <c r="H35" s="13" t="s">
        <v>232</v>
      </c>
      <c r="I35" s="477" t="s">
        <v>337</v>
      </c>
      <c r="J35" s="461"/>
      <c r="K35" s="466"/>
      <c r="L35" s="477" t="s">
        <v>336</v>
      </c>
      <c r="M35" s="466"/>
      <c r="N35" s="477" t="s">
        <v>236</v>
      </c>
      <c r="O35" s="466"/>
      <c r="P35" s="3"/>
      <c r="Q35" s="10"/>
      <c r="R35" s="3"/>
      <c r="S35" s="3"/>
      <c r="U35" s="154"/>
      <c r="AA35" s="3"/>
      <c r="AB35" s="3"/>
      <c r="AC35" s="3"/>
      <c r="AD35" s="3"/>
      <c r="AE35" s="3"/>
      <c r="AF35" s="3"/>
      <c r="AG35" s="3"/>
      <c r="AN35" s="449"/>
    </row>
    <row r="36" spans="1:40" ht="12.75">
      <c r="A36" s="10"/>
      <c r="B36" s="10"/>
      <c r="C36" s="3"/>
      <c r="D36" s="3"/>
      <c r="E36" s="3"/>
      <c r="F36" s="26" t="s">
        <v>234</v>
      </c>
      <c r="G36" s="414"/>
      <c r="H36" s="13" t="s">
        <v>232</v>
      </c>
      <c r="I36" s="467"/>
      <c r="J36" s="548"/>
      <c r="K36" s="468"/>
      <c r="L36" s="467"/>
      <c r="M36" s="468"/>
      <c r="N36" s="467"/>
      <c r="O36" s="468"/>
      <c r="P36" s="3"/>
      <c r="Q36" s="10"/>
      <c r="R36" s="3"/>
      <c r="S36" s="3"/>
      <c r="U36" s="48"/>
      <c r="V36" s="11"/>
      <c r="W36" s="11"/>
      <c r="X36" s="11"/>
      <c r="Y36" s="109"/>
      <c r="Z36" s="11"/>
      <c r="AA36" s="3"/>
      <c r="AB36" s="3"/>
      <c r="AC36" s="3"/>
      <c r="AD36" s="3"/>
      <c r="AE36" s="3"/>
      <c r="AF36" s="3"/>
      <c r="AG36" s="3"/>
      <c r="AN36" s="449"/>
    </row>
    <row r="37" spans="1:40" ht="12.75">
      <c r="A37" s="10"/>
      <c r="B37" s="10"/>
      <c r="C37" s="3"/>
      <c r="D37" s="3"/>
      <c r="E37" s="3"/>
      <c r="F37" s="567" t="s">
        <v>235</v>
      </c>
      <c r="G37" s="568"/>
      <c r="H37" s="41">
        <f>AB26</f>
        <v>0</v>
      </c>
      <c r="I37" s="459"/>
      <c r="J37" s="462"/>
      <c r="K37" s="460"/>
      <c r="L37" s="459"/>
      <c r="M37" s="460"/>
      <c r="N37" s="459"/>
      <c r="O37" s="460"/>
      <c r="P37" s="3"/>
      <c r="Q37" s="10"/>
      <c r="R37" s="3"/>
      <c r="S37" s="3"/>
      <c r="U37" s="56"/>
      <c r="V37" s="11"/>
      <c r="W37" s="11"/>
      <c r="X37" s="11"/>
      <c r="Y37" s="109"/>
      <c r="Z37" s="11"/>
      <c r="AA37" s="3"/>
      <c r="AB37" s="3"/>
      <c r="AC37" s="3"/>
      <c r="AD37" s="3"/>
      <c r="AE37" s="3"/>
      <c r="AF37" s="3"/>
      <c r="AG37" s="3"/>
      <c r="AN37" s="449"/>
    </row>
    <row r="38" spans="1:40" ht="12.75">
      <c r="A38" s="10"/>
      <c r="B38" s="10"/>
      <c r="C38" s="3"/>
      <c r="D38" s="3"/>
      <c r="E38" s="3"/>
      <c r="F38" s="12"/>
      <c r="G38" s="13"/>
      <c r="H38" s="13"/>
      <c r="I38" s="463" t="s">
        <v>237</v>
      </c>
      <c r="J38" s="464"/>
      <c r="K38" s="465"/>
      <c r="L38" s="549" t="str">
        <f>IF($H$37&lt;=50%,"X","")</f>
        <v>X</v>
      </c>
      <c r="M38" s="550"/>
      <c r="N38" s="557">
        <v>0</v>
      </c>
      <c r="O38" s="558"/>
      <c r="P38" s="3"/>
      <c r="Q38" s="91"/>
      <c r="R38" s="3"/>
      <c r="S38" s="3"/>
      <c r="U38" s="58">
        <f>IF($H$37&lt;50%,0%,"")</f>
        <v>0</v>
      </c>
      <c r="V38" s="11"/>
      <c r="W38" s="37"/>
      <c r="X38" s="37"/>
      <c r="Y38" s="48"/>
      <c r="Z38" s="11"/>
      <c r="AA38" s="42"/>
      <c r="AB38" s="3"/>
      <c r="AC38" s="556"/>
      <c r="AD38" s="556"/>
      <c r="AE38" s="3"/>
      <c r="AF38" s="42"/>
      <c r="AG38" s="3"/>
      <c r="AN38" s="449"/>
    </row>
    <row r="39" spans="1:40" ht="12.75">
      <c r="A39" s="10"/>
      <c r="B39" s="10"/>
      <c r="C39" s="3"/>
      <c r="D39" s="3"/>
      <c r="E39" s="3"/>
      <c r="F39" s="12"/>
      <c r="G39" s="13"/>
      <c r="H39" s="13"/>
      <c r="I39" s="463" t="s">
        <v>238</v>
      </c>
      <c r="J39" s="464"/>
      <c r="K39" s="465"/>
      <c r="L39" s="549">
        <f>IF(Y39=2,"X","")</f>
      </c>
      <c r="M39" s="550"/>
      <c r="N39" s="557">
        <v>0.1</v>
      </c>
      <c r="O39" s="558"/>
      <c r="P39" s="3"/>
      <c r="Q39" s="91"/>
      <c r="R39" s="3"/>
      <c r="S39" s="3"/>
      <c r="U39" s="58">
        <f>IF(Y39=2,10%,"")</f>
      </c>
      <c r="V39" s="11"/>
      <c r="W39" s="38">
        <f>IF($H$37&gt;50.01%,1,"")</f>
      </c>
      <c r="X39" s="108">
        <f>IF($H$37&lt;=75%,1,"")</f>
        <v>1</v>
      </c>
      <c r="Y39" s="54">
        <f>SUM(W39:X39)</f>
        <v>1</v>
      </c>
      <c r="Z39" s="11"/>
      <c r="AA39" s="42"/>
      <c r="AB39" s="3"/>
      <c r="AC39" s="556"/>
      <c r="AD39" s="556"/>
      <c r="AE39" s="3"/>
      <c r="AF39" s="42"/>
      <c r="AG39" s="3"/>
      <c r="AN39" s="449"/>
    </row>
    <row r="40" spans="1:40" ht="12.75">
      <c r="A40" s="10"/>
      <c r="B40" s="10"/>
      <c r="C40" s="3"/>
      <c r="D40" s="3"/>
      <c r="E40" s="3"/>
      <c r="F40" s="12"/>
      <c r="G40" s="13"/>
      <c r="H40" s="13"/>
      <c r="I40" s="463" t="s">
        <v>239</v>
      </c>
      <c r="J40" s="464"/>
      <c r="K40" s="465"/>
      <c r="L40" s="549">
        <f>IF(Y40=6,"X","")</f>
      </c>
      <c r="M40" s="550"/>
      <c r="N40" s="557">
        <v>0.2</v>
      </c>
      <c r="O40" s="558"/>
      <c r="P40" s="3"/>
      <c r="Q40" s="91"/>
      <c r="R40" s="3"/>
      <c r="S40" s="3"/>
      <c r="U40" s="58">
        <f>IF(Y40=6,20%,"")</f>
      </c>
      <c r="V40" s="11"/>
      <c r="W40" s="38">
        <f>IF($H$37&gt;75.01%,3,"")</f>
      </c>
      <c r="X40" s="108">
        <f>IF($H$37&lt;=100%,3,"")</f>
        <v>3</v>
      </c>
      <c r="Y40" s="54">
        <f>SUM(W40:X40)</f>
        <v>3</v>
      </c>
      <c r="Z40" s="11"/>
      <c r="AA40" s="42"/>
      <c r="AB40" s="3"/>
      <c r="AC40" s="556"/>
      <c r="AD40" s="556"/>
      <c r="AE40" s="3"/>
      <c r="AF40" s="42"/>
      <c r="AG40" s="3"/>
      <c r="AN40" s="449"/>
    </row>
    <row r="41" spans="4:40" ht="12.75">
      <c r="D41" s="3"/>
      <c r="E41" s="3"/>
      <c r="F41" s="12"/>
      <c r="G41" s="13"/>
      <c r="H41" s="13"/>
      <c r="I41" s="463" t="s">
        <v>240</v>
      </c>
      <c r="J41" s="464"/>
      <c r="K41" s="465"/>
      <c r="L41" s="549">
        <f>IF($H$37&gt;100.01%,"X","")</f>
      </c>
      <c r="M41" s="550"/>
      <c r="N41" s="557">
        <v>0.3</v>
      </c>
      <c r="O41" s="558"/>
      <c r="P41" s="26" t="s">
        <v>241</v>
      </c>
      <c r="Q41" s="175">
        <f>SUM(U38:U41)</f>
        <v>0</v>
      </c>
      <c r="R41" s="55" t="s">
        <v>229</v>
      </c>
      <c r="S41" s="47"/>
      <c r="T41" s="47"/>
      <c r="U41" s="58">
        <f>IF($H$37&gt;100.01%,30%,"")</f>
      </c>
      <c r="V41" s="11"/>
      <c r="W41" s="11"/>
      <c r="X41" s="11"/>
      <c r="Y41" s="109"/>
      <c r="Z41" s="11"/>
      <c r="AA41" s="42"/>
      <c r="AB41" s="3"/>
      <c r="AC41" s="556"/>
      <c r="AD41" s="556"/>
      <c r="AE41" s="3"/>
      <c r="AF41" s="42"/>
      <c r="AG41" s="3"/>
      <c r="AN41" s="449"/>
    </row>
    <row r="42" spans="4:40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10"/>
      <c r="O42" s="3"/>
      <c r="P42" s="3"/>
      <c r="Q42" s="10"/>
      <c r="R42" s="10"/>
      <c r="S42" s="10"/>
      <c r="U42" s="57"/>
      <c r="AA42" s="3"/>
      <c r="AB42" s="3"/>
      <c r="AC42" s="3"/>
      <c r="AD42" s="3"/>
      <c r="AE42" s="3"/>
      <c r="AF42" s="3"/>
      <c r="AG42" s="3"/>
      <c r="AN42" s="449"/>
    </row>
    <row r="43" spans="4:40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  <c r="P43" s="3"/>
      <c r="Q43" s="10"/>
      <c r="R43" s="10"/>
      <c r="S43" s="10"/>
      <c r="T43" s="106" t="s">
        <v>155</v>
      </c>
      <c r="U43" s="54">
        <f>G35+(G36*0.6)</f>
        <v>0</v>
      </c>
      <c r="V43" s="50"/>
      <c r="AA43" s="43"/>
      <c r="AB43" s="3"/>
      <c r="AC43" s="3"/>
      <c r="AD43" s="3"/>
      <c r="AE43" s="3"/>
      <c r="AF43" s="3"/>
      <c r="AG43" s="3"/>
      <c r="AN43" s="449"/>
    </row>
    <row r="44" spans="4:40" ht="12.75">
      <c r="D44" s="3"/>
      <c r="E44" s="3"/>
      <c r="F44" s="94" t="s">
        <v>242</v>
      </c>
      <c r="G44" s="3"/>
      <c r="H44" s="3"/>
      <c r="I44" s="3"/>
      <c r="J44" s="3"/>
      <c r="K44" s="3"/>
      <c r="L44" s="3"/>
      <c r="M44" s="3"/>
      <c r="N44" s="10"/>
      <c r="O44" s="3"/>
      <c r="P44" s="3"/>
      <c r="Q44" s="10"/>
      <c r="R44" s="10"/>
      <c r="S44" s="10"/>
      <c r="T44" s="50"/>
      <c r="U44" s="49" t="s">
        <v>151</v>
      </c>
      <c r="V44" s="50"/>
      <c r="AA44" s="3"/>
      <c r="AB44" s="3"/>
      <c r="AC44" s="3"/>
      <c r="AD44" s="3"/>
      <c r="AE44" s="3"/>
      <c r="AF44" s="3"/>
      <c r="AG44" s="3"/>
      <c r="AN44" s="449"/>
    </row>
    <row r="45" spans="4:40" ht="11.2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10"/>
      <c r="O45" s="3"/>
      <c r="P45" s="3"/>
      <c r="Q45" s="10"/>
      <c r="R45" s="10"/>
      <c r="S45" s="10"/>
      <c r="AN45" s="449"/>
    </row>
    <row r="46" spans="4:40" ht="12.75">
      <c r="D46" s="3"/>
      <c r="E46" s="3"/>
      <c r="F46" s="3" t="s">
        <v>243</v>
      </c>
      <c r="G46" s="3"/>
      <c r="H46" s="3"/>
      <c r="I46" s="3"/>
      <c r="J46" s="3"/>
      <c r="K46" s="3"/>
      <c r="L46" s="3"/>
      <c r="M46" s="3"/>
      <c r="N46" s="10"/>
      <c r="O46" s="3"/>
      <c r="P46" s="3"/>
      <c r="Q46" s="10"/>
      <c r="R46" s="10"/>
      <c r="S46" s="10"/>
      <c r="AN46" s="449"/>
    </row>
    <row r="47" spans="4:40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10"/>
      <c r="O47" s="3"/>
      <c r="P47" s="3"/>
      <c r="Q47" s="10"/>
      <c r="R47" s="10"/>
      <c r="S47" s="10"/>
      <c r="AN47" s="449"/>
    </row>
    <row r="48" spans="4:40" ht="12.75">
      <c r="D48" s="3"/>
      <c r="E48" s="3"/>
      <c r="F48" s="7" t="s">
        <v>244</v>
      </c>
      <c r="G48" s="26" t="s">
        <v>245</v>
      </c>
      <c r="H48" s="174">
        <f>Q29+Q41</f>
        <v>0</v>
      </c>
      <c r="I48" s="3"/>
      <c r="J48" s="3"/>
      <c r="K48" s="463" t="s">
        <v>246</v>
      </c>
      <c r="L48" s="464"/>
      <c r="M48" s="465"/>
      <c r="N48" s="44" t="s">
        <v>247</v>
      </c>
      <c r="O48" s="13"/>
      <c r="P48" s="13"/>
      <c r="Q48" s="173">
        <f>V63/100</f>
        <v>0</v>
      </c>
      <c r="R48" s="10" t="s">
        <v>229</v>
      </c>
      <c r="S48" s="10"/>
      <c r="T48" s="10"/>
      <c r="AN48" s="449"/>
    </row>
    <row r="49" spans="4:40" ht="12.75">
      <c r="D49" s="3"/>
      <c r="E49" s="3"/>
      <c r="F49" s="93" t="s">
        <v>249</v>
      </c>
      <c r="G49" s="3"/>
      <c r="H49" s="3"/>
      <c r="I49" s="3"/>
      <c r="J49" s="3"/>
      <c r="K49" s="3"/>
      <c r="L49" s="3"/>
      <c r="M49" s="3"/>
      <c r="N49" s="10"/>
      <c r="O49" s="3"/>
      <c r="P49" s="3"/>
      <c r="Q49" s="10"/>
      <c r="R49" s="3"/>
      <c r="S49" s="3"/>
      <c r="AN49" s="449"/>
    </row>
    <row r="50" spans="4:40" ht="13.5" thickBot="1">
      <c r="D50" s="3"/>
      <c r="E50" s="3"/>
      <c r="F50" s="3"/>
      <c r="G50" s="3"/>
      <c r="H50" s="3"/>
      <c r="I50" s="3"/>
      <c r="J50" s="3"/>
      <c r="K50" s="3"/>
      <c r="L50" s="3"/>
      <c r="M50" s="3"/>
      <c r="N50" s="10"/>
      <c r="O50" s="3"/>
      <c r="P50" s="3"/>
      <c r="Q50" s="10"/>
      <c r="R50" s="3"/>
      <c r="S50" s="3"/>
      <c r="T50" s="10"/>
      <c r="U50" s="10"/>
      <c r="V50" s="3"/>
      <c r="Y50" s="48" t="s">
        <v>16</v>
      </c>
      <c r="AN50" s="449"/>
    </row>
    <row r="51" spans="4:40" ht="13.5" thickBot="1">
      <c r="D51" s="3"/>
      <c r="E51" s="112" t="str">
        <f>IF(Y51=1,"X","")</f>
        <v>X</v>
      </c>
      <c r="F51" s="3" t="s">
        <v>248</v>
      </c>
      <c r="G51" s="3"/>
      <c r="H51" s="3"/>
      <c r="I51" s="3" t="s">
        <v>70</v>
      </c>
      <c r="J51" s="79">
        <v>0</v>
      </c>
      <c r="K51" s="94" t="str">
        <f>IF(Y51=1,"Classe I","")</f>
        <v>Classe I</v>
      </c>
      <c r="L51" s="3"/>
      <c r="M51" s="94"/>
      <c r="N51" s="95">
        <f>IF(Y51=1,J51,"")</f>
        <v>0</v>
      </c>
      <c r="O51" s="3"/>
      <c r="P51" s="3"/>
      <c r="Q51" s="10"/>
      <c r="R51" s="3"/>
      <c r="S51" s="3"/>
      <c r="T51" s="10"/>
      <c r="U51" s="116"/>
      <c r="V51" s="3"/>
      <c r="W51" s="38">
        <f>IF(H48&lt;5%,1,0)</f>
        <v>1</v>
      </c>
      <c r="X51" s="54"/>
      <c r="Y51" s="54">
        <f aca="true" t="shared" si="0" ref="Y51:Y61">SUM(W51:X51)</f>
        <v>1</v>
      </c>
      <c r="Z51" s="3"/>
      <c r="AA51" s="3"/>
      <c r="AB51" s="3"/>
      <c r="AC51" s="3"/>
      <c r="AN51" s="449"/>
    </row>
    <row r="52" spans="4:40" ht="13.5" thickBot="1">
      <c r="D52" s="3"/>
      <c r="E52" s="112">
        <f aca="true" t="shared" si="1" ref="E52:E60">IF(Y52=2,"X","")</f>
      </c>
      <c r="F52" s="3" t="s">
        <v>250</v>
      </c>
      <c r="G52" s="3"/>
      <c r="H52" s="3"/>
      <c r="I52" s="3" t="s">
        <v>71</v>
      </c>
      <c r="J52" s="79">
        <v>5</v>
      </c>
      <c r="K52" s="94">
        <f>IF(Y52=2,"Classe II","")</f>
      </c>
      <c r="L52" s="3"/>
      <c r="M52" s="94"/>
      <c r="N52" s="95">
        <f aca="true" t="shared" si="2" ref="N52:N60">IF(Y52=2,J52,"")</f>
      </c>
      <c r="O52" s="3"/>
      <c r="P52" s="3"/>
      <c r="Q52" s="10"/>
      <c r="R52" s="3"/>
      <c r="S52" s="3"/>
      <c r="T52" s="10"/>
      <c r="U52" s="116"/>
      <c r="V52" s="3"/>
      <c r="W52" s="38">
        <f>IF($H$48&gt;5.01%,1,0)</f>
        <v>0</v>
      </c>
      <c r="X52" s="54">
        <f>IF($H$48&lt;=10%,1,0)</f>
        <v>1</v>
      </c>
      <c r="Y52" s="54">
        <f t="shared" si="0"/>
        <v>1</v>
      </c>
      <c r="Z52" s="3"/>
      <c r="AA52" s="3"/>
      <c r="AB52" s="3"/>
      <c r="AC52" s="3"/>
      <c r="AN52" s="449"/>
    </row>
    <row r="53" spans="4:40" ht="13.5" thickBot="1">
      <c r="D53" s="3"/>
      <c r="E53" s="112">
        <f t="shared" si="1"/>
      </c>
      <c r="F53" s="3" t="s">
        <v>251</v>
      </c>
      <c r="G53" s="3"/>
      <c r="H53" s="3"/>
      <c r="I53" s="3" t="s">
        <v>72</v>
      </c>
      <c r="J53" s="79">
        <v>10</v>
      </c>
      <c r="K53" s="94">
        <f>IF(Y53=2,"Classe III","")</f>
      </c>
      <c r="L53" s="3"/>
      <c r="M53" s="94"/>
      <c r="N53" s="95">
        <f t="shared" si="2"/>
      </c>
      <c r="O53" s="3"/>
      <c r="P53" s="3"/>
      <c r="Q53" s="10"/>
      <c r="R53" s="3"/>
      <c r="S53" s="3"/>
      <c r="T53" s="10"/>
      <c r="U53" s="116"/>
      <c r="V53" s="3"/>
      <c r="W53" s="38">
        <f>IF($H$48&gt;10.01%,1,0)</f>
        <v>0</v>
      </c>
      <c r="X53" s="54">
        <f>IF($H$48&lt;=15%,1,0)</f>
        <v>1</v>
      </c>
      <c r="Y53" s="54">
        <f t="shared" si="0"/>
        <v>1</v>
      </c>
      <c r="Z53" s="3"/>
      <c r="AA53" s="3"/>
      <c r="AB53" s="3"/>
      <c r="AC53" s="3"/>
      <c r="AN53" s="449"/>
    </row>
    <row r="54" spans="4:40" ht="13.5" thickBot="1">
      <c r="D54" s="3"/>
      <c r="E54" s="112">
        <f t="shared" si="1"/>
      </c>
      <c r="F54" s="3" t="s">
        <v>252</v>
      </c>
      <c r="G54" s="3"/>
      <c r="H54" s="3"/>
      <c r="I54" s="3" t="s">
        <v>73</v>
      </c>
      <c r="J54" s="79">
        <v>15</v>
      </c>
      <c r="K54" s="94">
        <f>IF(Y54=2,"Classe IV","")</f>
      </c>
      <c r="L54" s="3"/>
      <c r="M54" s="94"/>
      <c r="N54" s="95">
        <f t="shared" si="2"/>
      </c>
      <c r="O54" s="3"/>
      <c r="P54" s="3"/>
      <c r="Q54" s="10"/>
      <c r="R54" s="3"/>
      <c r="S54" s="3"/>
      <c r="T54" s="10"/>
      <c r="U54" s="116"/>
      <c r="W54" s="38">
        <f>IF($H$48&gt;15.01%,1,0)</f>
        <v>0</v>
      </c>
      <c r="X54" s="54">
        <f>IF($H$48&lt;=20%,1,0)</f>
        <v>1</v>
      </c>
      <c r="Y54" s="54">
        <f t="shared" si="0"/>
        <v>1</v>
      </c>
      <c r="Z54" s="3"/>
      <c r="AA54" s="3"/>
      <c r="AB54" s="3"/>
      <c r="AC54" s="3"/>
      <c r="AN54" s="449"/>
    </row>
    <row r="55" spans="4:40" ht="13.5" thickBot="1">
      <c r="D55" s="3"/>
      <c r="E55" s="112">
        <f t="shared" si="1"/>
      </c>
      <c r="F55" s="3" t="s">
        <v>253</v>
      </c>
      <c r="G55" s="3"/>
      <c r="H55" s="3"/>
      <c r="I55" s="3" t="s">
        <v>74</v>
      </c>
      <c r="J55" s="79">
        <v>20</v>
      </c>
      <c r="K55" s="94">
        <f>IF(Y55=2,"Classe V","")</f>
      </c>
      <c r="L55" s="3"/>
      <c r="M55" s="94"/>
      <c r="N55" s="95">
        <f t="shared" si="2"/>
      </c>
      <c r="O55" s="3"/>
      <c r="P55" s="3"/>
      <c r="Q55" s="10"/>
      <c r="R55" s="3"/>
      <c r="S55" s="3"/>
      <c r="T55" s="10"/>
      <c r="U55" s="116"/>
      <c r="V55" s="3"/>
      <c r="W55" s="38">
        <f>IF($H$48&gt;20.01%,1,0)</f>
        <v>0</v>
      </c>
      <c r="X55" s="54">
        <f>IF($H$48&lt;=25%,1,0)</f>
        <v>1</v>
      </c>
      <c r="Y55" s="54">
        <f t="shared" si="0"/>
        <v>1</v>
      </c>
      <c r="Z55" s="3"/>
      <c r="AA55" s="3"/>
      <c r="AB55" s="3"/>
      <c r="AC55" s="3"/>
      <c r="AN55" s="449"/>
    </row>
    <row r="56" spans="4:40" ht="13.5" thickBot="1">
      <c r="D56" s="3"/>
      <c r="E56" s="112">
        <f t="shared" si="1"/>
      </c>
      <c r="F56" s="3" t="s">
        <v>254</v>
      </c>
      <c r="G56" s="3"/>
      <c r="H56" s="3"/>
      <c r="I56" s="3" t="s">
        <v>75</v>
      </c>
      <c r="J56" s="79">
        <v>25</v>
      </c>
      <c r="K56" s="94">
        <f>IF(Y56=2,"Classe VI","")</f>
      </c>
      <c r="L56" s="3"/>
      <c r="M56" s="94"/>
      <c r="N56" s="95">
        <f t="shared" si="2"/>
      </c>
      <c r="O56" s="3"/>
      <c r="P56" s="3"/>
      <c r="Q56" s="10"/>
      <c r="R56" s="3"/>
      <c r="S56" s="3"/>
      <c r="T56" s="10"/>
      <c r="U56" s="116"/>
      <c r="V56" s="3"/>
      <c r="W56" s="38">
        <f>IF($H$48&gt;25.01%,1,0)</f>
        <v>0</v>
      </c>
      <c r="X56" s="54">
        <f>IF($H$48&lt;=30%,1,0)</f>
        <v>1</v>
      </c>
      <c r="Y56" s="54">
        <f t="shared" si="0"/>
        <v>1</v>
      </c>
      <c r="Z56" s="3"/>
      <c r="AA56" s="3"/>
      <c r="AB56" s="3"/>
      <c r="AC56" s="3"/>
      <c r="AN56" s="449"/>
    </row>
    <row r="57" spans="4:40" ht="13.5" thickBot="1">
      <c r="D57" s="3"/>
      <c r="E57" s="112">
        <f t="shared" si="1"/>
      </c>
      <c r="F57" s="3" t="s">
        <v>255</v>
      </c>
      <c r="G57" s="3"/>
      <c r="H57" s="3"/>
      <c r="I57" s="3" t="s">
        <v>76</v>
      </c>
      <c r="J57" s="79">
        <v>30</v>
      </c>
      <c r="K57" s="94">
        <f>IF(Y57=2,"Classe VII","")</f>
      </c>
      <c r="L57" s="3"/>
      <c r="M57" s="94"/>
      <c r="N57" s="95">
        <f t="shared" si="2"/>
      </c>
      <c r="O57" s="3"/>
      <c r="P57" s="3"/>
      <c r="Q57" s="10"/>
      <c r="R57" s="3"/>
      <c r="S57" s="3"/>
      <c r="T57" s="10"/>
      <c r="U57" s="116"/>
      <c r="V57" s="3"/>
      <c r="W57" s="38">
        <f>IF($H$48&gt;30.01%,1,0)</f>
        <v>0</v>
      </c>
      <c r="X57" s="54">
        <f>IF($H$48&lt;=35%,1,0)</f>
        <v>1</v>
      </c>
      <c r="Y57" s="54">
        <f t="shared" si="0"/>
        <v>1</v>
      </c>
      <c r="Z57" s="3"/>
      <c r="AA57" s="3"/>
      <c r="AB57" s="3"/>
      <c r="AC57" s="3"/>
      <c r="AN57" s="449"/>
    </row>
    <row r="58" spans="4:40" ht="13.5" thickBot="1">
      <c r="D58" s="3"/>
      <c r="E58" s="112">
        <f t="shared" si="1"/>
      </c>
      <c r="F58" s="3" t="s">
        <v>256</v>
      </c>
      <c r="G58" s="3"/>
      <c r="H58" s="3"/>
      <c r="I58" s="3" t="s">
        <v>77</v>
      </c>
      <c r="J58" s="79">
        <v>35</v>
      </c>
      <c r="K58" s="94">
        <f>IF(Y58=2,"Classe VIII","")</f>
      </c>
      <c r="L58" s="3"/>
      <c r="M58" s="94"/>
      <c r="N58" s="95">
        <f t="shared" si="2"/>
      </c>
      <c r="O58" s="3"/>
      <c r="P58" s="3"/>
      <c r="Q58" s="10"/>
      <c r="R58" s="3"/>
      <c r="S58" s="3"/>
      <c r="T58" s="10"/>
      <c r="U58" s="116"/>
      <c r="V58" s="3"/>
      <c r="W58" s="38">
        <f>IF($H$48&gt;35.01%,1,0)</f>
        <v>0</v>
      </c>
      <c r="X58" s="54">
        <f>IF($H$48&lt;=40%,1,0)</f>
        <v>1</v>
      </c>
      <c r="Y58" s="54">
        <f t="shared" si="0"/>
        <v>1</v>
      </c>
      <c r="Z58" s="3"/>
      <c r="AA58" s="3"/>
      <c r="AB58" s="3"/>
      <c r="AC58" s="3"/>
      <c r="AN58" s="449"/>
    </row>
    <row r="59" spans="4:40" ht="13.5" thickBot="1">
      <c r="D59" s="3"/>
      <c r="E59" s="112">
        <f t="shared" si="1"/>
      </c>
      <c r="F59" s="3" t="s">
        <v>257</v>
      </c>
      <c r="G59" s="3"/>
      <c r="H59" s="3"/>
      <c r="I59" s="3" t="s">
        <v>78</v>
      </c>
      <c r="J59" s="79">
        <v>40</v>
      </c>
      <c r="K59" s="94">
        <f>IF(Y59=2,"Classe IX","")</f>
      </c>
      <c r="L59" s="3"/>
      <c r="M59" s="94"/>
      <c r="N59" s="95">
        <f t="shared" si="2"/>
      </c>
      <c r="O59" s="3"/>
      <c r="P59" s="3"/>
      <c r="Q59" s="10"/>
      <c r="R59" s="3"/>
      <c r="S59" s="3"/>
      <c r="T59" s="10"/>
      <c r="U59" s="116"/>
      <c r="V59" s="3"/>
      <c r="W59" s="38">
        <f>IF($H$48&gt;40.01%,1,0)</f>
        <v>0</v>
      </c>
      <c r="X59" s="54">
        <f>IF($H$48&lt;=45%,1,0)</f>
        <v>1</v>
      </c>
      <c r="Y59" s="54">
        <f t="shared" si="0"/>
        <v>1</v>
      </c>
      <c r="Z59" s="3"/>
      <c r="AA59" s="3"/>
      <c r="AB59" s="3"/>
      <c r="AC59" s="3"/>
      <c r="AN59" s="449"/>
    </row>
    <row r="60" spans="4:40" ht="13.5" thickBot="1">
      <c r="D60" s="3"/>
      <c r="E60" s="112">
        <f t="shared" si="1"/>
      </c>
      <c r="F60" s="3" t="s">
        <v>258</v>
      </c>
      <c r="G60" s="3"/>
      <c r="H60" s="3"/>
      <c r="I60" s="3" t="s">
        <v>79</v>
      </c>
      <c r="J60" s="79">
        <v>45</v>
      </c>
      <c r="K60" s="94">
        <f>IF(Y60=2,"Classe X","")</f>
      </c>
      <c r="L60" s="3"/>
      <c r="M60" s="94"/>
      <c r="N60" s="95">
        <f t="shared" si="2"/>
      </c>
      <c r="O60" s="3"/>
      <c r="P60" s="3"/>
      <c r="Q60" s="10"/>
      <c r="R60" s="3"/>
      <c r="S60" s="3"/>
      <c r="T60" s="10"/>
      <c r="U60" s="116"/>
      <c r="V60" s="3"/>
      <c r="W60" s="38">
        <f>IF($H$48&gt;45.01%,1,0)</f>
        <v>0</v>
      </c>
      <c r="X60" s="54">
        <f>IF($H$48&lt;=50%,1,0)</f>
        <v>1</v>
      </c>
      <c r="Y60" s="54">
        <f t="shared" si="0"/>
        <v>1</v>
      </c>
      <c r="Z60" s="3"/>
      <c r="AA60" s="3"/>
      <c r="AB60" s="3"/>
      <c r="AC60" s="3"/>
      <c r="AN60" s="449"/>
    </row>
    <row r="61" spans="4:40" ht="13.5" thickBot="1">
      <c r="D61" s="3"/>
      <c r="E61" s="112">
        <f>IF(Y61=1,"X","")</f>
      </c>
      <c r="F61" s="3" t="s">
        <v>148</v>
      </c>
      <c r="G61" s="3"/>
      <c r="H61" s="3"/>
      <c r="I61" s="3" t="s">
        <v>80</v>
      </c>
      <c r="J61" s="79">
        <v>50</v>
      </c>
      <c r="K61" s="94">
        <f>IF(Y61=1,"Classe XI","")</f>
      </c>
      <c r="L61" s="3"/>
      <c r="M61" s="94"/>
      <c r="N61" s="95">
        <f>IF(Y61=1,J61,"")</f>
      </c>
      <c r="O61" s="3"/>
      <c r="P61" s="3"/>
      <c r="Q61" s="10"/>
      <c r="R61" s="3"/>
      <c r="S61" s="3"/>
      <c r="T61" s="10"/>
      <c r="U61" s="116"/>
      <c r="V61" s="3"/>
      <c r="W61" s="38">
        <f>IF(H48&gt;50.01%,1,0)</f>
        <v>0</v>
      </c>
      <c r="X61" s="54"/>
      <c r="Y61" s="54">
        <f t="shared" si="0"/>
        <v>0</v>
      </c>
      <c r="Z61" s="3"/>
      <c r="AA61" s="3"/>
      <c r="AB61" s="3"/>
      <c r="AC61" s="3"/>
      <c r="AN61" s="449"/>
    </row>
    <row r="62" spans="4:40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42"/>
      <c r="O62" s="3"/>
      <c r="P62" s="3"/>
      <c r="Q62" s="10"/>
      <c r="R62" s="3"/>
      <c r="S62" s="3"/>
      <c r="T62" s="10"/>
      <c r="U62" s="10"/>
      <c r="V62" s="3"/>
      <c r="Z62" s="3"/>
      <c r="AA62" s="3"/>
      <c r="AB62" s="3"/>
      <c r="AC62" s="3"/>
      <c r="AN62" s="449"/>
    </row>
    <row r="63" spans="4:40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10"/>
      <c r="O63" s="3"/>
      <c r="P63" s="3"/>
      <c r="Q63" s="10"/>
      <c r="R63" s="3"/>
      <c r="S63" s="3"/>
      <c r="V63" s="52">
        <f>SUM(N51:N61)</f>
        <v>0</v>
      </c>
      <c r="AN63" s="449"/>
    </row>
    <row r="64" spans="4:40" ht="12.75">
      <c r="D64" s="3"/>
      <c r="E64" s="3"/>
      <c r="F64" s="94" t="s">
        <v>341</v>
      </c>
      <c r="G64" s="3"/>
      <c r="H64" s="3"/>
      <c r="I64" s="3"/>
      <c r="J64" s="3"/>
      <c r="K64" s="3"/>
      <c r="L64" s="3"/>
      <c r="M64" s="3"/>
      <c r="N64" s="10"/>
      <c r="O64" s="3"/>
      <c r="P64" s="3"/>
      <c r="Q64" s="10"/>
      <c r="R64" s="3"/>
      <c r="S64" s="3"/>
      <c r="AN64" s="449"/>
    </row>
    <row r="65" spans="4:40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10"/>
      <c r="O65" s="3"/>
      <c r="P65" s="3"/>
      <c r="Q65" s="10"/>
      <c r="R65" s="3"/>
      <c r="S65" s="3"/>
      <c r="AN65" s="449"/>
    </row>
    <row r="66" spans="4:40" ht="12.75">
      <c r="D66" s="3"/>
      <c r="E66" s="3"/>
      <c r="F66" s="3"/>
      <c r="G66" s="3"/>
      <c r="H66" s="96" t="s">
        <v>261</v>
      </c>
      <c r="I66" s="125">
        <f>(U4-V4)*0.475</f>
        <v>0</v>
      </c>
      <c r="J66" s="3" t="s">
        <v>259</v>
      </c>
      <c r="K66" s="97"/>
      <c r="L66" s="3"/>
      <c r="M66" s="3"/>
      <c r="N66" s="10"/>
      <c r="O66" s="3"/>
      <c r="P66" s="3"/>
      <c r="Q66" s="10"/>
      <c r="R66" s="3"/>
      <c r="S66" s="3"/>
      <c r="AN66" s="449"/>
    </row>
    <row r="67" spans="4:40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10"/>
      <c r="O67" s="3"/>
      <c r="P67" s="3"/>
      <c r="Q67" s="10"/>
      <c r="R67" s="3"/>
      <c r="S67" s="3"/>
      <c r="AN67" s="449"/>
    </row>
    <row r="68" spans="4:40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10"/>
      <c r="O68" s="3"/>
      <c r="P68" s="3"/>
      <c r="Q68" s="10"/>
      <c r="R68" s="3"/>
      <c r="S68" s="3"/>
      <c r="T68" s="10"/>
      <c r="U68" s="10"/>
      <c r="V68" s="3"/>
      <c r="W68" s="3"/>
      <c r="X68" s="3"/>
      <c r="Y68" s="10"/>
      <c r="Z68" s="3"/>
      <c r="AN68" s="449"/>
    </row>
    <row r="69" spans="4:40" ht="12.75">
      <c r="D69" s="3"/>
      <c r="E69" s="3"/>
      <c r="F69" s="94" t="s">
        <v>342</v>
      </c>
      <c r="G69" s="3"/>
      <c r="H69" s="3"/>
      <c r="I69" s="3"/>
      <c r="J69" s="3"/>
      <c r="K69" s="3"/>
      <c r="L69" s="3"/>
      <c r="M69" s="3"/>
      <c r="N69" s="10"/>
      <c r="O69" s="3"/>
      <c r="P69" s="3"/>
      <c r="Q69" s="10"/>
      <c r="R69" s="3"/>
      <c r="S69" s="3"/>
      <c r="T69" s="10"/>
      <c r="U69" s="10"/>
      <c r="V69" s="3"/>
      <c r="W69" s="3"/>
      <c r="X69" s="3"/>
      <c r="Y69" s="10"/>
      <c r="Z69" s="3"/>
      <c r="AN69" s="449"/>
    </row>
    <row r="70" spans="4:40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10"/>
      <c r="O70" s="3"/>
      <c r="P70" s="3"/>
      <c r="Q70" s="10"/>
      <c r="R70" s="3"/>
      <c r="S70" s="3"/>
      <c r="T70" s="10"/>
      <c r="U70" s="10"/>
      <c r="V70" s="3"/>
      <c r="W70" s="3"/>
      <c r="X70" s="3"/>
      <c r="Y70" s="10"/>
      <c r="Z70" s="3"/>
      <c r="AN70" s="449"/>
    </row>
    <row r="71" spans="4:40" ht="12.75">
      <c r="D71" s="3"/>
      <c r="E71" s="3"/>
      <c r="F71" s="98" t="s">
        <v>210</v>
      </c>
      <c r="G71" s="168">
        <f>I66</f>
        <v>0</v>
      </c>
      <c r="H71" s="172">
        <f>1+Q48</f>
        <v>1</v>
      </c>
      <c r="I71" s="171">
        <f>I66*H71</f>
        <v>0</v>
      </c>
      <c r="J71" s="3"/>
      <c r="K71" s="3"/>
      <c r="L71" s="3"/>
      <c r="M71" s="3"/>
      <c r="N71" s="10"/>
      <c r="O71" s="3"/>
      <c r="P71" s="3"/>
      <c r="Q71" s="10"/>
      <c r="R71" s="3"/>
      <c r="S71" s="3"/>
      <c r="T71" s="10"/>
      <c r="U71" s="547"/>
      <c r="V71" s="547"/>
      <c r="W71" s="3"/>
      <c r="X71" s="3"/>
      <c r="Y71" s="10"/>
      <c r="Z71" s="111"/>
      <c r="AN71" s="449"/>
    </row>
    <row r="72" spans="4:40" ht="12.75">
      <c r="D72" s="3"/>
      <c r="E72" s="3"/>
      <c r="F72" s="99" t="s">
        <v>210</v>
      </c>
      <c r="G72" s="90" t="s">
        <v>99</v>
      </c>
      <c r="H72" s="90" t="s">
        <v>38</v>
      </c>
      <c r="I72" s="67" t="s">
        <v>37</v>
      </c>
      <c r="J72" s="3"/>
      <c r="K72" s="3"/>
      <c r="L72" s="3"/>
      <c r="M72" s="3"/>
      <c r="N72" s="10"/>
      <c r="O72" s="3"/>
      <c r="P72" s="3"/>
      <c r="Q72" s="5"/>
      <c r="R72" s="3"/>
      <c r="S72" s="3"/>
      <c r="T72" s="10"/>
      <c r="U72" s="10"/>
      <c r="V72" s="3"/>
      <c r="W72" s="3"/>
      <c r="X72" s="3"/>
      <c r="Y72" s="10"/>
      <c r="Z72" s="3"/>
      <c r="AN72" s="449"/>
    </row>
    <row r="73" spans="4:40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10"/>
      <c r="O73" s="3"/>
      <c r="P73" s="3"/>
      <c r="Q73" s="10"/>
      <c r="R73" s="3"/>
      <c r="S73" s="3"/>
      <c r="T73" s="10"/>
      <c r="U73" s="10"/>
      <c r="V73" s="3"/>
      <c r="W73" s="3"/>
      <c r="X73" s="3"/>
      <c r="Y73" s="10"/>
      <c r="Z73" s="3"/>
      <c r="AN73" s="449"/>
    </row>
    <row r="74" spans="4:40" ht="12.75">
      <c r="D74" s="3"/>
      <c r="E74" s="3"/>
      <c r="F74" s="3" t="s">
        <v>263</v>
      </c>
      <c r="G74" s="3"/>
      <c r="H74" s="3"/>
      <c r="I74" s="3"/>
      <c r="J74" s="3"/>
      <c r="K74" s="3"/>
      <c r="L74" s="3"/>
      <c r="M74" s="3"/>
      <c r="N74" s="10"/>
      <c r="O74" s="3"/>
      <c r="P74" s="3"/>
      <c r="Q74" s="10"/>
      <c r="R74" s="3"/>
      <c r="S74" s="3"/>
      <c r="T74" s="10"/>
      <c r="U74" s="10"/>
      <c r="V74" s="3"/>
      <c r="W74" s="3"/>
      <c r="X74" s="3"/>
      <c r="Y74" s="10"/>
      <c r="Z74" s="3"/>
      <c r="AN74" s="449"/>
    </row>
    <row r="75" spans="4:40" ht="12.75">
      <c r="D75" s="3"/>
      <c r="E75" s="3"/>
      <c r="F75" s="98" t="s">
        <v>2</v>
      </c>
      <c r="G75" s="69" t="s">
        <v>191</v>
      </c>
      <c r="H75" s="107"/>
      <c r="I75" s="107"/>
      <c r="J75" s="107"/>
      <c r="K75" s="3"/>
      <c r="L75" s="3"/>
      <c r="M75" s="3"/>
      <c r="N75" s="10"/>
      <c r="O75" s="3"/>
      <c r="P75" s="3"/>
      <c r="Q75" s="10"/>
      <c r="R75" s="3"/>
      <c r="S75" s="3"/>
      <c r="T75" s="49"/>
      <c r="U75" s="49"/>
      <c r="V75" s="50"/>
      <c r="W75" s="50"/>
      <c r="X75" s="50"/>
      <c r="Y75" s="49"/>
      <c r="Z75" s="50"/>
      <c r="AA75" s="37"/>
      <c r="AN75" s="449"/>
    </row>
    <row r="76" spans="4:40" ht="12.75">
      <c r="D76" s="3"/>
      <c r="E76" s="3"/>
      <c r="F76" s="98" t="s">
        <v>2</v>
      </c>
      <c r="G76" s="69" t="s">
        <v>88</v>
      </c>
      <c r="H76" s="107"/>
      <c r="I76" s="107"/>
      <c r="J76" s="107"/>
      <c r="K76" s="3"/>
      <c r="L76" s="3"/>
      <c r="M76" s="3"/>
      <c r="N76" s="10"/>
      <c r="O76" s="3"/>
      <c r="P76" s="3"/>
      <c r="Q76" s="10"/>
      <c r="R76" s="3"/>
      <c r="S76" s="3"/>
      <c r="T76" s="48"/>
      <c r="U76" s="48"/>
      <c r="V76" s="37"/>
      <c r="W76" s="37"/>
      <c r="X76" s="37"/>
      <c r="Y76" s="48"/>
      <c r="Z76" s="37"/>
      <c r="AA76" s="37"/>
      <c r="AN76" s="449"/>
    </row>
    <row r="77" spans="4:40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10"/>
      <c r="O77" s="3"/>
      <c r="P77" s="3"/>
      <c r="Q77" s="10"/>
      <c r="R77" s="3"/>
      <c r="S77" s="3"/>
      <c r="T77" s="49"/>
      <c r="U77" s="49"/>
      <c r="V77" s="50"/>
      <c r="W77" s="50"/>
      <c r="X77" s="50"/>
      <c r="Y77" s="49"/>
      <c r="Z77" s="50"/>
      <c r="AA77" s="50"/>
      <c r="AN77" s="449"/>
    </row>
    <row r="78" spans="4:40" ht="40.5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10"/>
      <c r="O78" s="3"/>
      <c r="P78" s="3"/>
      <c r="Q78" s="10"/>
      <c r="R78" s="3"/>
      <c r="S78" s="3"/>
      <c r="T78" s="49"/>
      <c r="U78" s="49"/>
      <c r="V78" s="50"/>
      <c r="W78" s="50"/>
      <c r="X78" s="50"/>
      <c r="Y78" s="49"/>
      <c r="Z78" s="50"/>
      <c r="AA78" s="50"/>
      <c r="AN78" s="449"/>
    </row>
    <row r="79" spans="4:40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10"/>
      <c r="O79" s="3"/>
      <c r="P79" s="3"/>
      <c r="Q79" s="10"/>
      <c r="R79" s="3"/>
      <c r="S79" s="3"/>
      <c r="T79" s="49"/>
      <c r="U79" s="49"/>
      <c r="V79" s="50"/>
      <c r="W79" s="50"/>
      <c r="X79" s="50"/>
      <c r="Y79" s="49"/>
      <c r="Z79" s="50"/>
      <c r="AA79" s="50"/>
      <c r="AN79" s="449"/>
    </row>
    <row r="80" spans="4:40" ht="12.75">
      <c r="D80" s="3"/>
      <c r="E80" s="3"/>
      <c r="F80" s="94" t="s">
        <v>264</v>
      </c>
      <c r="G80" s="3"/>
      <c r="H80" s="3"/>
      <c r="I80" s="3"/>
      <c r="J80" s="3"/>
      <c r="K80" s="3"/>
      <c r="L80" s="3"/>
      <c r="M80" s="3"/>
      <c r="N80" s="10"/>
      <c r="O80" s="3"/>
      <c r="P80" s="3"/>
      <c r="Q80" s="10"/>
      <c r="R80" s="3"/>
      <c r="S80" s="3"/>
      <c r="T80" s="49"/>
      <c r="U80" s="49"/>
      <c r="V80" s="50"/>
      <c r="W80" s="50"/>
      <c r="X80" s="50"/>
      <c r="Y80" s="49"/>
      <c r="Z80" s="49" t="s">
        <v>87</v>
      </c>
      <c r="AA80" s="50"/>
      <c r="AN80" s="449"/>
    </row>
    <row r="81" spans="4:40" ht="12.75">
      <c r="D81" s="3"/>
      <c r="E81" s="3"/>
      <c r="F81" s="5"/>
      <c r="G81" s="3"/>
      <c r="H81" s="3"/>
      <c r="I81" s="3"/>
      <c r="J81" s="3"/>
      <c r="K81" s="3"/>
      <c r="L81" s="3"/>
      <c r="M81" s="3"/>
      <c r="N81" s="10"/>
      <c r="O81" s="3"/>
      <c r="P81" s="3"/>
      <c r="Q81" s="10"/>
      <c r="R81" s="3"/>
      <c r="S81" s="3"/>
      <c r="T81" s="49"/>
      <c r="U81" s="49"/>
      <c r="V81" s="50"/>
      <c r="W81" s="50"/>
      <c r="X81" s="50"/>
      <c r="Y81" s="49"/>
      <c r="Z81" s="54">
        <f>IF(I71*U100&gt;25,I71*U100,0)</f>
        <v>0</v>
      </c>
      <c r="AA81" s="50"/>
      <c r="AN81" s="449"/>
    </row>
    <row r="82" spans="4:40" ht="12.75">
      <c r="D82" s="3"/>
      <c r="E82" s="3"/>
      <c r="F82" s="99" t="s">
        <v>150</v>
      </c>
      <c r="G82" s="171">
        <f>Z83</f>
        <v>25</v>
      </c>
      <c r="H82" s="170">
        <f>U43</f>
        <v>0</v>
      </c>
      <c r="I82" s="179">
        <f>IF(I66&gt;0,G82*H82,0)</f>
        <v>0</v>
      </c>
      <c r="J82" s="3"/>
      <c r="K82" s="3"/>
      <c r="L82" s="3"/>
      <c r="M82" s="3"/>
      <c r="N82" s="75"/>
      <c r="O82" s="3"/>
      <c r="P82" s="3"/>
      <c r="Q82" s="10"/>
      <c r="R82" s="3"/>
      <c r="S82" s="3"/>
      <c r="T82" s="49"/>
      <c r="U82" s="103"/>
      <c r="V82" s="50"/>
      <c r="W82" s="50"/>
      <c r="X82" s="50"/>
      <c r="Y82" s="49"/>
      <c r="Z82" s="54">
        <f>IF(I71*U100&lt;25,25,0)</f>
        <v>25</v>
      </c>
      <c r="AA82" s="50"/>
      <c r="AN82" s="449"/>
    </row>
    <row r="83" spans="4:40" ht="12.75">
      <c r="D83" s="3"/>
      <c r="E83" s="3"/>
      <c r="F83" s="99" t="s">
        <v>150</v>
      </c>
      <c r="G83" s="90" t="s">
        <v>179</v>
      </c>
      <c r="H83" s="90" t="s">
        <v>180</v>
      </c>
      <c r="I83" s="406" t="s">
        <v>474</v>
      </c>
      <c r="J83" s="3"/>
      <c r="K83" s="3"/>
      <c r="L83" s="3"/>
      <c r="M83" s="3"/>
      <c r="N83" s="10"/>
      <c r="O83" s="3"/>
      <c r="P83" s="3"/>
      <c r="Q83" s="10"/>
      <c r="R83" s="3"/>
      <c r="S83" s="3"/>
      <c r="T83" s="49"/>
      <c r="U83" s="49"/>
      <c r="V83" s="50"/>
      <c r="W83" s="50"/>
      <c r="X83" s="50"/>
      <c r="Y83" s="49"/>
      <c r="Z83" s="54">
        <f>SUM(Z81:Z82)</f>
        <v>25</v>
      </c>
      <c r="AA83" s="50"/>
      <c r="AN83" s="449"/>
    </row>
    <row r="84" spans="4:40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10"/>
      <c r="O84" s="3"/>
      <c r="P84" s="3"/>
      <c r="Q84" s="10"/>
      <c r="R84" s="3"/>
      <c r="S84" s="3"/>
      <c r="W84" s="50"/>
      <c r="X84" s="50"/>
      <c r="Y84" s="49"/>
      <c r="Z84" s="50"/>
      <c r="AA84" s="50"/>
      <c r="AN84" s="449"/>
    </row>
    <row r="85" spans="4:40" ht="12.75">
      <c r="D85" s="3"/>
      <c r="E85" s="3"/>
      <c r="F85" s="67" t="s">
        <v>263</v>
      </c>
      <c r="G85" s="67"/>
      <c r="H85" s="67"/>
      <c r="I85" s="67"/>
      <c r="J85" s="67"/>
      <c r="K85" s="67"/>
      <c r="L85" s="67"/>
      <c r="M85" s="67"/>
      <c r="N85" s="90"/>
      <c r="O85" s="67"/>
      <c r="P85" s="3"/>
      <c r="Q85" s="10"/>
      <c r="R85" s="3"/>
      <c r="S85" s="3"/>
      <c r="W85" s="50"/>
      <c r="X85" s="50"/>
      <c r="Y85" s="49"/>
      <c r="Z85" s="50"/>
      <c r="AA85" s="50"/>
      <c r="AN85" s="449"/>
    </row>
    <row r="86" spans="4:40" ht="12.75">
      <c r="D86" s="3"/>
      <c r="E86" s="3"/>
      <c r="F86" s="67"/>
      <c r="G86" s="69" t="s">
        <v>181</v>
      </c>
      <c r="H86" s="67"/>
      <c r="I86" s="67"/>
      <c r="J86" s="67"/>
      <c r="K86" s="67"/>
      <c r="L86" s="67"/>
      <c r="M86" s="67"/>
      <c r="N86" s="90"/>
      <c r="O86" s="67"/>
      <c r="P86" s="3"/>
      <c r="Q86" s="10"/>
      <c r="R86" s="3"/>
      <c r="S86" s="3"/>
      <c r="T86" s="49"/>
      <c r="U86" s="49"/>
      <c r="V86" s="50"/>
      <c r="W86" s="50"/>
      <c r="X86" s="50"/>
      <c r="Y86" s="49"/>
      <c r="Z86" s="50"/>
      <c r="AA86" s="50"/>
      <c r="AN86" s="449"/>
    </row>
    <row r="87" spans="4:40" ht="12.75">
      <c r="D87" s="3"/>
      <c r="E87" s="3"/>
      <c r="F87" s="67"/>
      <c r="G87" s="69" t="s">
        <v>182</v>
      </c>
      <c r="H87" s="67"/>
      <c r="I87" s="67"/>
      <c r="J87" s="67"/>
      <c r="K87" s="67"/>
      <c r="L87" s="67"/>
      <c r="M87" s="67"/>
      <c r="N87" s="90"/>
      <c r="O87" s="67"/>
      <c r="P87" s="3"/>
      <c r="Q87" s="10"/>
      <c r="R87" s="3"/>
      <c r="S87" s="3"/>
      <c r="T87" s="49"/>
      <c r="U87" s="49"/>
      <c r="V87" s="50"/>
      <c r="W87" s="50"/>
      <c r="X87" s="50"/>
      <c r="Y87" s="49"/>
      <c r="Z87" s="50"/>
      <c r="AA87" s="50"/>
      <c r="AN87" s="449"/>
    </row>
    <row r="88" spans="4:40" ht="12.75">
      <c r="D88" s="3"/>
      <c r="E88" s="3"/>
      <c r="F88" s="67"/>
      <c r="G88" s="69" t="s">
        <v>183</v>
      </c>
      <c r="H88" s="67"/>
      <c r="I88" s="67"/>
      <c r="J88" s="67"/>
      <c r="K88" s="67"/>
      <c r="L88" s="67"/>
      <c r="M88" s="67"/>
      <c r="N88" s="90"/>
      <c r="O88" s="67"/>
      <c r="P88" s="3"/>
      <c r="Q88" s="10"/>
      <c r="R88" s="3"/>
      <c r="S88" s="3"/>
      <c r="T88" s="49"/>
      <c r="U88" s="49"/>
      <c r="V88" s="50"/>
      <c r="W88" s="50"/>
      <c r="X88" s="50"/>
      <c r="Y88" s="49"/>
      <c r="Z88" s="50"/>
      <c r="AA88" s="50"/>
      <c r="AN88" s="449"/>
    </row>
    <row r="89" spans="4:40" ht="12.75">
      <c r="D89" s="3"/>
      <c r="E89" s="3"/>
      <c r="F89" s="67"/>
      <c r="G89" s="67"/>
      <c r="H89" s="67"/>
      <c r="I89" s="67"/>
      <c r="J89" s="67"/>
      <c r="K89" s="67"/>
      <c r="L89" s="67"/>
      <c r="M89" s="67"/>
      <c r="N89" s="90"/>
      <c r="O89" s="67"/>
      <c r="P89" s="3"/>
      <c r="Q89" s="10"/>
      <c r="R89" s="3"/>
      <c r="S89" s="3"/>
      <c r="T89" s="49"/>
      <c r="U89" s="49"/>
      <c r="V89" s="50"/>
      <c r="W89" s="50"/>
      <c r="X89" s="50"/>
      <c r="Y89" s="49"/>
      <c r="Z89" s="50"/>
      <c r="AA89" s="50"/>
      <c r="AN89" s="449"/>
    </row>
    <row r="90" spans="4:40" ht="12.75">
      <c r="D90" s="3"/>
      <c r="E90" s="3"/>
      <c r="F90" s="67" t="s">
        <v>265</v>
      </c>
      <c r="G90" s="3"/>
      <c r="H90" s="3"/>
      <c r="I90" s="3"/>
      <c r="J90" s="3"/>
      <c r="K90" s="3"/>
      <c r="L90" s="3"/>
      <c r="M90" s="3"/>
      <c r="N90" s="10"/>
      <c r="O90" s="3"/>
      <c r="P90" s="3"/>
      <c r="Q90" s="10"/>
      <c r="R90" s="3"/>
      <c r="S90" s="3"/>
      <c r="T90" s="48"/>
      <c r="U90" s="48"/>
      <c r="V90" s="37"/>
      <c r="W90" s="37"/>
      <c r="X90" s="37"/>
      <c r="Y90" s="48"/>
      <c r="Z90" s="37"/>
      <c r="AA90" s="37"/>
      <c r="AN90" s="449"/>
    </row>
    <row r="91" spans="4:40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10"/>
      <c r="O91" s="3"/>
      <c r="P91" s="3"/>
      <c r="Q91" s="10"/>
      <c r="R91" s="3"/>
      <c r="S91" s="3"/>
      <c r="T91" s="48"/>
      <c r="U91" s="48"/>
      <c r="V91" s="37"/>
      <c r="W91" s="37"/>
      <c r="X91" s="37"/>
      <c r="Y91" s="48"/>
      <c r="Z91" s="37"/>
      <c r="AA91" s="37"/>
      <c r="AN91" s="449"/>
    </row>
    <row r="92" spans="4:40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10"/>
      <c r="O92" s="3"/>
      <c r="P92" s="3"/>
      <c r="Q92" s="10"/>
      <c r="R92" s="3"/>
      <c r="S92" s="3"/>
      <c r="T92" s="48"/>
      <c r="U92" s="48"/>
      <c r="V92" s="37"/>
      <c r="W92" s="37"/>
      <c r="X92" s="37"/>
      <c r="Y92" s="48"/>
      <c r="Z92" s="37"/>
      <c r="AA92" s="37"/>
      <c r="AN92" s="449"/>
    </row>
    <row r="93" spans="4:40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10"/>
      <c r="O93" s="3"/>
      <c r="P93" s="3"/>
      <c r="Q93" s="10"/>
      <c r="R93" s="3"/>
      <c r="S93" s="3"/>
      <c r="T93" s="48"/>
      <c r="U93" s="48"/>
      <c r="V93" s="37"/>
      <c r="W93" s="37"/>
      <c r="X93" s="37"/>
      <c r="Y93" s="48"/>
      <c r="Z93" s="37"/>
      <c r="AA93" s="37"/>
      <c r="AN93" s="449"/>
    </row>
    <row r="94" spans="4:40" ht="12.75">
      <c r="D94" s="3"/>
      <c r="E94" s="3"/>
      <c r="F94" s="3" t="s">
        <v>266</v>
      </c>
      <c r="G94" s="3"/>
      <c r="H94" s="3"/>
      <c r="I94" s="3"/>
      <c r="J94" s="3"/>
      <c r="K94" s="3"/>
      <c r="L94" s="3"/>
      <c r="M94" s="3"/>
      <c r="N94" s="10"/>
      <c r="O94" s="3"/>
      <c r="P94" s="3"/>
      <c r="Q94" s="10"/>
      <c r="R94" s="3"/>
      <c r="S94" s="3"/>
      <c r="T94" s="48"/>
      <c r="U94" s="48"/>
      <c r="V94" s="37"/>
      <c r="W94" s="37"/>
      <c r="X94" s="37"/>
      <c r="Y94" s="48"/>
      <c r="Z94" s="37"/>
      <c r="AA94" s="37"/>
      <c r="AN94" s="449"/>
    </row>
    <row r="95" spans="4:40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10"/>
      <c r="O95" s="3"/>
      <c r="P95" s="3"/>
      <c r="Q95" s="10"/>
      <c r="R95" s="3"/>
      <c r="S95" s="3"/>
      <c r="T95" s="48"/>
      <c r="U95" s="48"/>
      <c r="V95" s="37"/>
      <c r="W95" s="37"/>
      <c r="X95" s="37"/>
      <c r="Y95" s="48"/>
      <c r="Z95" s="37"/>
      <c r="AA95" s="37"/>
      <c r="AN95" s="449"/>
    </row>
    <row r="96" spans="4:40" ht="13.5" thickBot="1">
      <c r="D96" s="3"/>
      <c r="E96" s="3"/>
      <c r="F96" s="12" t="s">
        <v>267</v>
      </c>
      <c r="G96" s="13"/>
      <c r="H96" s="14"/>
      <c r="I96" s="7" t="s">
        <v>229</v>
      </c>
      <c r="J96" s="3"/>
      <c r="K96" s="101"/>
      <c r="L96" s="101"/>
      <c r="M96" s="101"/>
      <c r="N96" s="102"/>
      <c r="O96" s="101"/>
      <c r="P96" s="101"/>
      <c r="Q96" s="102"/>
      <c r="R96" s="101"/>
      <c r="S96" s="101"/>
      <c r="T96" s="104"/>
      <c r="U96" s="382">
        <f>SUM(L97:L106)</f>
        <v>0.05</v>
      </c>
      <c r="V96" s="105"/>
      <c r="W96" s="37"/>
      <c r="X96" s="37"/>
      <c r="Y96" s="48" t="s">
        <v>16</v>
      </c>
      <c r="Z96" s="37"/>
      <c r="AA96" s="37"/>
      <c r="AN96" s="449"/>
    </row>
    <row r="97" spans="4:40" ht="13.5" thickBot="1">
      <c r="D97" s="3"/>
      <c r="E97" s="112" t="str">
        <f>IF(Y97=1,"X","")</f>
        <v>X</v>
      </c>
      <c r="F97" s="13"/>
      <c r="G97" s="13" t="s">
        <v>268</v>
      </c>
      <c r="H97" s="14"/>
      <c r="I97" s="7">
        <v>5</v>
      </c>
      <c r="J97" s="3"/>
      <c r="K97" s="101"/>
      <c r="L97" s="53">
        <f>IF(Y97=1,5%,"")</f>
        <v>0.05</v>
      </c>
      <c r="M97" s="101"/>
      <c r="N97" s="102"/>
      <c r="O97" s="101"/>
      <c r="P97" s="101"/>
      <c r="Q97" s="102"/>
      <c r="R97" s="101"/>
      <c r="S97" s="101"/>
      <c r="T97" s="104"/>
      <c r="V97" s="105"/>
      <c r="W97" s="54">
        <f>IF($I$71&lt;500.99,1,0)</f>
        <v>1</v>
      </c>
      <c r="X97" s="54"/>
      <c r="Y97" s="54">
        <f aca="true" t="shared" si="3" ref="Y97:Y106">W97+X97</f>
        <v>1</v>
      </c>
      <c r="Z97" s="50"/>
      <c r="AA97" s="37"/>
      <c r="AN97" s="449"/>
    </row>
    <row r="98" spans="4:40" ht="13.5" thickBot="1">
      <c r="D98" s="3"/>
      <c r="E98" s="112">
        <f aca="true" t="shared" si="4" ref="E98:E105">IF(Y98=2,"X","")</f>
      </c>
      <c r="F98" s="13"/>
      <c r="G98" s="13" t="s">
        <v>269</v>
      </c>
      <c r="H98" s="14"/>
      <c r="I98" s="7">
        <v>6</v>
      </c>
      <c r="J98" s="3"/>
      <c r="K98" s="101"/>
      <c r="L98" s="53">
        <f>IF(Y98=2,6%,"")</f>
      </c>
      <c r="M98" s="101"/>
      <c r="N98" s="102"/>
      <c r="O98" s="101"/>
      <c r="P98" s="101"/>
      <c r="Q98" s="102"/>
      <c r="R98" s="101"/>
      <c r="S98" s="101"/>
      <c r="T98" s="104"/>
      <c r="U98" s="104"/>
      <c r="V98" s="105"/>
      <c r="W98" s="54">
        <f>IF($I$71&gt;501,1,0)</f>
        <v>0</v>
      </c>
      <c r="X98" s="54">
        <f>IF($I$71&lt;1000.99,1,0)</f>
        <v>1</v>
      </c>
      <c r="Y98" s="54">
        <f t="shared" si="3"/>
        <v>1</v>
      </c>
      <c r="Z98" s="50"/>
      <c r="AA98" s="37"/>
      <c r="AN98" s="449"/>
    </row>
    <row r="99" spans="4:40" ht="13.5" thickBot="1">
      <c r="D99" s="3"/>
      <c r="E99" s="112">
        <f t="shared" si="4"/>
      </c>
      <c r="F99" s="13"/>
      <c r="G99" s="13" t="s">
        <v>270</v>
      </c>
      <c r="H99" s="14"/>
      <c r="I99" s="7">
        <v>7</v>
      </c>
      <c r="J99" s="3"/>
      <c r="K99" s="101"/>
      <c r="L99" s="53">
        <f>IF(Y99=2,7%,"")</f>
      </c>
      <c r="M99" s="101"/>
      <c r="N99" s="102"/>
      <c r="O99" s="101"/>
      <c r="P99" s="101"/>
      <c r="Q99" s="102"/>
      <c r="R99" s="101"/>
      <c r="S99" s="101"/>
      <c r="T99" s="104"/>
      <c r="U99" s="104"/>
      <c r="V99" s="105"/>
      <c r="W99" s="54">
        <f>IF($I$71&gt;1001,1,0)</f>
        <v>0</v>
      </c>
      <c r="X99" s="54">
        <f>IF($I$71&lt;1500.99,1,0)</f>
        <v>1</v>
      </c>
      <c r="Y99" s="54">
        <f t="shared" si="3"/>
        <v>1</v>
      </c>
      <c r="Z99" s="50"/>
      <c r="AA99" s="37"/>
      <c r="AN99" s="449"/>
    </row>
    <row r="100" spans="4:40" ht="13.5" thickBot="1">
      <c r="D100" s="3"/>
      <c r="E100" s="112">
        <f t="shared" si="4"/>
      </c>
      <c r="F100" s="13"/>
      <c r="G100" s="13" t="s">
        <v>271</v>
      </c>
      <c r="H100" s="14"/>
      <c r="I100" s="7">
        <v>8</v>
      </c>
      <c r="J100" s="3"/>
      <c r="K100" s="101"/>
      <c r="L100" s="53">
        <f>IF(Y100=2,8%,"")</f>
      </c>
      <c r="M100" s="101"/>
      <c r="N100" s="102"/>
      <c r="O100" s="101"/>
      <c r="P100" s="101"/>
      <c r="Q100" s="102"/>
      <c r="R100" s="101"/>
      <c r="S100" s="101"/>
      <c r="T100" s="48"/>
      <c r="U100" s="58">
        <f>IF(E108&gt;0,L108,U96)</f>
        <v>0.05</v>
      </c>
      <c r="V100" s="105"/>
      <c r="W100" s="54">
        <f>IF($I$71&gt;1501,1,0)</f>
        <v>0</v>
      </c>
      <c r="X100" s="54">
        <f>IF($I$71&lt;2000,1,0)</f>
        <v>1</v>
      </c>
      <c r="Y100" s="54">
        <f t="shared" si="3"/>
        <v>1</v>
      </c>
      <c r="Z100" s="50"/>
      <c r="AA100" s="37"/>
      <c r="AN100" s="449"/>
    </row>
    <row r="101" spans="4:40" ht="13.5" thickBot="1">
      <c r="D101" s="3"/>
      <c r="E101" s="112">
        <f t="shared" si="4"/>
      </c>
      <c r="F101" s="13"/>
      <c r="G101" s="13" t="s">
        <v>272</v>
      </c>
      <c r="H101" s="14"/>
      <c r="I101" s="7">
        <v>9</v>
      </c>
      <c r="J101" s="3"/>
      <c r="K101" s="101"/>
      <c r="L101" s="53">
        <f>IF(Y101=2,9%,"")</f>
      </c>
      <c r="M101" s="101"/>
      <c r="N101" s="102"/>
      <c r="O101" s="101"/>
      <c r="P101" s="101"/>
      <c r="Q101" s="102"/>
      <c r="R101" s="101"/>
      <c r="S101" s="101"/>
      <c r="T101" s="104"/>
      <c r="U101" s="104"/>
      <c r="V101" s="105"/>
      <c r="W101" s="54">
        <f>IF($I$71&gt;2001,1,0)</f>
        <v>0</v>
      </c>
      <c r="X101" s="54">
        <f>IF($I$71&lt;2500.99,1,0)</f>
        <v>1</v>
      </c>
      <c r="Y101" s="54">
        <f t="shared" si="3"/>
        <v>1</v>
      </c>
      <c r="Z101" s="50"/>
      <c r="AA101" s="37"/>
      <c r="AN101" s="449"/>
    </row>
    <row r="102" spans="4:40" ht="13.5" thickBot="1">
      <c r="D102" s="3"/>
      <c r="E102" s="112">
        <f t="shared" si="4"/>
      </c>
      <c r="F102" s="13"/>
      <c r="G102" s="13" t="s">
        <v>273</v>
      </c>
      <c r="H102" s="14"/>
      <c r="I102" s="7">
        <v>10</v>
      </c>
      <c r="J102" s="3"/>
      <c r="K102" s="101"/>
      <c r="L102" s="53">
        <f>IF(Y102=2,10%,"")</f>
      </c>
      <c r="M102" s="101"/>
      <c r="N102" s="102"/>
      <c r="O102" s="101"/>
      <c r="P102" s="101"/>
      <c r="Q102" s="102"/>
      <c r="R102" s="101"/>
      <c r="S102" s="101"/>
      <c r="T102" s="46"/>
      <c r="U102" s="46"/>
      <c r="V102" s="45"/>
      <c r="W102" s="54">
        <f>IF($I$71&gt;2501,1,0)</f>
        <v>0</v>
      </c>
      <c r="X102" s="54">
        <f>IF($I$71&lt;3000.99,1,0)</f>
        <v>1</v>
      </c>
      <c r="Y102" s="54">
        <f t="shared" si="3"/>
        <v>1</v>
      </c>
      <c r="Z102" s="3"/>
      <c r="AN102" s="449"/>
    </row>
    <row r="103" spans="4:40" ht="13.5" thickBot="1">
      <c r="D103" s="3"/>
      <c r="E103" s="112">
        <f t="shared" si="4"/>
      </c>
      <c r="F103" s="13"/>
      <c r="G103" s="13" t="s">
        <v>274</v>
      </c>
      <c r="H103" s="14"/>
      <c r="I103" s="7">
        <v>11</v>
      </c>
      <c r="J103" s="3"/>
      <c r="K103" s="101"/>
      <c r="L103" s="53">
        <f>IF(Y103=2,11%,"")</f>
      </c>
      <c r="M103" s="101"/>
      <c r="N103" s="102"/>
      <c r="O103" s="101"/>
      <c r="P103" s="101"/>
      <c r="Q103" s="102"/>
      <c r="R103" s="101"/>
      <c r="S103" s="101"/>
      <c r="T103" s="46"/>
      <c r="U103" s="46"/>
      <c r="V103" s="45"/>
      <c r="W103" s="54">
        <f>IF($I$71&gt;3001,1,0)</f>
        <v>0</v>
      </c>
      <c r="X103" s="54">
        <f>IF($I$71&lt;3500.99,1,0)</f>
        <v>1</v>
      </c>
      <c r="Y103" s="54">
        <f t="shared" si="3"/>
        <v>1</v>
      </c>
      <c r="Z103" s="3"/>
      <c r="AN103" s="449"/>
    </row>
    <row r="104" spans="4:40" ht="13.5" thickBot="1">
      <c r="D104" s="3"/>
      <c r="E104" s="112">
        <f t="shared" si="4"/>
      </c>
      <c r="F104" s="13"/>
      <c r="G104" s="13" t="s">
        <v>275</v>
      </c>
      <c r="H104" s="14"/>
      <c r="I104" s="7">
        <v>12</v>
      </c>
      <c r="J104" s="3"/>
      <c r="K104" s="101"/>
      <c r="L104" s="53">
        <f>IF(Y104=2,12%,"")</f>
      </c>
      <c r="M104" s="101"/>
      <c r="N104" s="102"/>
      <c r="O104" s="101"/>
      <c r="P104" s="101"/>
      <c r="Q104" s="102"/>
      <c r="R104" s="101"/>
      <c r="S104" s="101"/>
      <c r="T104" s="46"/>
      <c r="U104" s="46"/>
      <c r="V104" s="45"/>
      <c r="W104" s="54">
        <f>IF($I$71&gt;3501,1,0)</f>
        <v>0</v>
      </c>
      <c r="X104" s="54">
        <f>IF($I$71&lt;4000.99,1,0)</f>
        <v>1</v>
      </c>
      <c r="Y104" s="54">
        <f t="shared" si="3"/>
        <v>1</v>
      </c>
      <c r="Z104" s="3"/>
      <c r="AN104" s="449"/>
    </row>
    <row r="105" spans="4:40" ht="13.5" thickBot="1">
      <c r="D105" s="3"/>
      <c r="E105" s="112">
        <f t="shared" si="4"/>
      </c>
      <c r="F105" s="13"/>
      <c r="G105" s="13" t="s">
        <v>276</v>
      </c>
      <c r="H105" s="14"/>
      <c r="I105" s="7">
        <v>13</v>
      </c>
      <c r="J105" s="3"/>
      <c r="K105" s="101"/>
      <c r="L105" s="53">
        <f>IF(Y105=2,13%,"")</f>
      </c>
      <c r="M105" s="101"/>
      <c r="N105" s="102"/>
      <c r="O105" s="101"/>
      <c r="P105" s="101"/>
      <c r="Q105" s="102"/>
      <c r="R105" s="101"/>
      <c r="S105" s="101"/>
      <c r="T105" s="46"/>
      <c r="U105" s="46"/>
      <c r="V105" s="45"/>
      <c r="W105" s="54">
        <f>IF($I$71&gt;4001,1,0)</f>
        <v>0</v>
      </c>
      <c r="X105" s="54">
        <f>IF($I$71&lt;4500,1,0)</f>
        <v>1</v>
      </c>
      <c r="Y105" s="54">
        <f t="shared" si="3"/>
        <v>1</v>
      </c>
      <c r="Z105" s="3"/>
      <c r="AN105" s="449"/>
    </row>
    <row r="106" spans="4:40" ht="13.5" thickBot="1">
      <c r="D106" s="3"/>
      <c r="E106" s="112">
        <f>IF(Y106=1,"X","")</f>
      </c>
      <c r="F106" s="19"/>
      <c r="G106" s="19" t="s">
        <v>147</v>
      </c>
      <c r="H106" s="20"/>
      <c r="I106" s="7">
        <v>14</v>
      </c>
      <c r="J106" s="3"/>
      <c r="K106" s="101"/>
      <c r="L106" s="53">
        <f>IF(Y106=1,14%,"")</f>
      </c>
      <c r="M106" s="101"/>
      <c r="N106" s="102"/>
      <c r="O106" s="101"/>
      <c r="P106" s="101"/>
      <c r="Q106" s="102"/>
      <c r="R106" s="101"/>
      <c r="S106" s="101"/>
      <c r="T106" s="46"/>
      <c r="U106" s="46"/>
      <c r="V106" s="45"/>
      <c r="W106" s="54">
        <f>IF($I$71&gt;4500,1,0)</f>
        <v>0</v>
      </c>
      <c r="X106" s="54"/>
      <c r="Y106" s="54">
        <f t="shared" si="3"/>
        <v>0</v>
      </c>
      <c r="Z106" s="3"/>
      <c r="AN106" s="449"/>
    </row>
    <row r="107" spans="4:40" ht="13.5" thickBot="1">
      <c r="D107" s="3"/>
      <c r="E107" s="3"/>
      <c r="F107" s="3"/>
      <c r="G107" s="3"/>
      <c r="H107" s="3"/>
      <c r="I107" s="3"/>
      <c r="J107" s="3"/>
      <c r="K107" s="3"/>
      <c r="L107" s="76"/>
      <c r="M107" s="3"/>
      <c r="N107" s="10"/>
      <c r="O107" s="3"/>
      <c r="P107" s="3"/>
      <c r="Q107" s="10"/>
      <c r="R107" s="3"/>
      <c r="S107" s="3"/>
      <c r="V107" s="3"/>
      <c r="W107" s="115"/>
      <c r="X107" s="23"/>
      <c r="Y107" s="115"/>
      <c r="Z107" s="3"/>
      <c r="AA107" s="3"/>
      <c r="AB107" s="3"/>
      <c r="AN107" s="449"/>
    </row>
    <row r="108" spans="4:40" ht="13.5" thickBot="1">
      <c r="D108" s="3"/>
      <c r="E108" s="294"/>
      <c r="F108" s="544" t="s">
        <v>18</v>
      </c>
      <c r="G108" s="544"/>
      <c r="H108" s="544"/>
      <c r="I108" s="10">
        <v>20</v>
      </c>
      <c r="J108" s="3"/>
      <c r="K108" s="3"/>
      <c r="L108" s="53">
        <f>IF(Y108&gt;0,20%,"")</f>
      </c>
      <c r="M108" s="3"/>
      <c r="N108" s="10"/>
      <c r="O108" s="3"/>
      <c r="P108" s="3"/>
      <c r="Q108" s="10"/>
      <c r="R108" s="3"/>
      <c r="S108" s="3"/>
      <c r="W108" s="110"/>
      <c r="X108" s="7"/>
      <c r="Y108" s="110">
        <f>IF(E108&gt;0,2,0)</f>
        <v>0</v>
      </c>
      <c r="Z108" s="21"/>
      <c r="AN108" s="449"/>
    </row>
    <row r="109" spans="4:40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0"/>
      <c r="O109" s="3"/>
      <c r="P109" s="3"/>
      <c r="Q109" s="10"/>
      <c r="R109" s="3"/>
      <c r="S109" s="3"/>
      <c r="Z109" s="3"/>
      <c r="AN109" s="449"/>
    </row>
    <row r="110" spans="4:40" ht="12.75">
      <c r="D110" s="3"/>
      <c r="E110" s="3"/>
      <c r="F110" s="67" t="s">
        <v>278</v>
      </c>
      <c r="G110" s="3"/>
      <c r="H110" s="3"/>
      <c r="I110" s="3"/>
      <c r="J110" s="3"/>
      <c r="K110" s="3"/>
      <c r="L110" s="3"/>
      <c r="M110" s="3"/>
      <c r="N110" s="10"/>
      <c r="O110" s="3"/>
      <c r="P110" s="3"/>
      <c r="Q110" s="10"/>
      <c r="R110" s="3"/>
      <c r="S110" s="3"/>
      <c r="AN110" s="449"/>
    </row>
    <row r="111" spans="4:40" ht="12.75">
      <c r="D111" s="3"/>
      <c r="E111" s="3"/>
      <c r="F111" s="67" t="s">
        <v>279</v>
      </c>
      <c r="G111" s="3"/>
      <c r="H111" s="3"/>
      <c r="I111" s="3"/>
      <c r="J111" s="3"/>
      <c r="K111" s="3"/>
      <c r="L111" s="3"/>
      <c r="M111" s="3"/>
      <c r="N111" s="10"/>
      <c r="O111" s="3"/>
      <c r="P111" s="3"/>
      <c r="Q111" s="10"/>
      <c r="R111" s="3"/>
      <c r="S111" s="3"/>
      <c r="AN111" s="449"/>
    </row>
    <row r="112" spans="4:40" ht="12.75">
      <c r="D112" s="3"/>
      <c r="E112" s="3"/>
      <c r="F112" s="67"/>
      <c r="G112" s="3"/>
      <c r="H112" s="3"/>
      <c r="I112" s="3"/>
      <c r="J112" s="3"/>
      <c r="K112" s="3"/>
      <c r="L112" s="3"/>
      <c r="M112" s="3"/>
      <c r="N112" s="10"/>
      <c r="O112" s="3"/>
      <c r="P112" s="3"/>
      <c r="Q112" s="10"/>
      <c r="R112" s="3"/>
      <c r="S112" s="3"/>
      <c r="AN112" s="449"/>
    </row>
    <row r="113" spans="4:40" ht="13.5" thickBot="1">
      <c r="D113" s="3"/>
      <c r="E113" s="3"/>
      <c r="F113" s="257"/>
      <c r="G113" s="257"/>
      <c r="H113" s="257"/>
      <c r="I113" s="257"/>
      <c r="J113" s="257"/>
      <c r="K113" s="258"/>
      <c r="L113" s="258"/>
      <c r="M113" s="258"/>
      <c r="N113" s="259"/>
      <c r="O113" s="3"/>
      <c r="P113" s="3"/>
      <c r="Q113" s="10"/>
      <c r="R113" s="3"/>
      <c r="S113" s="3"/>
      <c r="AN113" s="449"/>
    </row>
    <row r="114" spans="4:40" ht="13.5" thickBot="1">
      <c r="D114" s="3"/>
      <c r="E114" s="294"/>
      <c r="F114" s="500" t="s">
        <v>53</v>
      </c>
      <c r="G114" s="500"/>
      <c r="H114" s="500"/>
      <c r="I114" s="500"/>
      <c r="J114" s="500"/>
      <c r="K114" s="500"/>
      <c r="L114" s="500"/>
      <c r="M114" s="258"/>
      <c r="N114" s="259"/>
      <c r="O114" s="636">
        <v>35</v>
      </c>
      <c r="P114" s="555" t="s">
        <v>229</v>
      </c>
      <c r="Q114" s="10"/>
      <c r="R114" s="3"/>
      <c r="S114" s="3"/>
      <c r="U114" s="167"/>
      <c r="AN114" s="449"/>
    </row>
    <row r="115" spans="4:40" ht="12.75">
      <c r="D115" s="3"/>
      <c r="E115" s="3"/>
      <c r="F115" s="500"/>
      <c r="G115" s="500"/>
      <c r="H115" s="500"/>
      <c r="I115" s="500"/>
      <c r="J115" s="500"/>
      <c r="K115" s="500"/>
      <c r="L115" s="500"/>
      <c r="M115" s="258"/>
      <c r="N115" s="259"/>
      <c r="O115" s="637"/>
      <c r="P115" s="555"/>
      <c r="Q115" s="10"/>
      <c r="R115" s="3"/>
      <c r="S115" s="3"/>
      <c r="AN115" s="449"/>
    </row>
    <row r="116" spans="4:40" ht="12.75">
      <c r="D116" s="3"/>
      <c r="E116" s="3"/>
      <c r="F116" s="500"/>
      <c r="G116" s="500"/>
      <c r="H116" s="500"/>
      <c r="I116" s="500"/>
      <c r="J116" s="500"/>
      <c r="K116" s="500"/>
      <c r="L116" s="500"/>
      <c r="M116" s="3"/>
      <c r="N116" s="10"/>
      <c r="O116" s="637"/>
      <c r="P116" s="555"/>
      <c r="Q116" s="10"/>
      <c r="R116" s="3"/>
      <c r="S116" s="3"/>
      <c r="AN116" s="449"/>
    </row>
    <row r="117" spans="4:40" ht="12.75">
      <c r="D117" s="3"/>
      <c r="E117" s="82"/>
      <c r="F117" s="500"/>
      <c r="G117" s="500"/>
      <c r="H117" s="500"/>
      <c r="I117" s="500"/>
      <c r="J117" s="500"/>
      <c r="K117" s="500"/>
      <c r="L117" s="500"/>
      <c r="M117" s="267"/>
      <c r="N117" s="10"/>
      <c r="O117" s="638"/>
      <c r="P117" s="555"/>
      <c r="Q117" s="10"/>
      <c r="R117" s="3"/>
      <c r="S117" s="3"/>
      <c r="T117" s="6" t="s">
        <v>1</v>
      </c>
      <c r="AN117" s="449"/>
    </row>
    <row r="118" spans="4:40" ht="12.75">
      <c r="D118" s="3"/>
      <c r="E118" s="3"/>
      <c r="F118" s="267"/>
      <c r="G118" s="267"/>
      <c r="H118" s="267"/>
      <c r="I118" s="267"/>
      <c r="J118" s="267"/>
      <c r="K118" s="267"/>
      <c r="L118" s="267"/>
      <c r="M118" s="267"/>
      <c r="N118" s="10"/>
      <c r="O118" s="130"/>
      <c r="P118" s="261"/>
      <c r="Q118" s="10"/>
      <c r="R118" s="3"/>
      <c r="S118" s="3"/>
      <c r="T118" s="7">
        <f>T121</f>
        <v>0</v>
      </c>
      <c r="U118" s="10"/>
      <c r="AN118" s="449"/>
    </row>
    <row r="119" spans="4:40" ht="12.75">
      <c r="D119" s="3"/>
      <c r="E119" s="3"/>
      <c r="F119" s="267"/>
      <c r="G119" s="267"/>
      <c r="H119" s="267"/>
      <c r="I119" s="267"/>
      <c r="J119" s="267"/>
      <c r="K119" s="267"/>
      <c r="L119" s="267"/>
      <c r="M119" s="267"/>
      <c r="N119" s="10"/>
      <c r="O119" s="130"/>
      <c r="P119" s="261"/>
      <c r="Q119" s="10"/>
      <c r="R119" s="3"/>
      <c r="S119" s="3"/>
      <c r="T119" s="10"/>
      <c r="U119" s="10"/>
      <c r="V119" s="3"/>
      <c r="AN119" s="449"/>
    </row>
    <row r="120" spans="4:40" ht="12.75">
      <c r="D120" s="3"/>
      <c r="E120" s="3"/>
      <c r="F120" s="267"/>
      <c r="G120" s="267"/>
      <c r="H120" s="267"/>
      <c r="I120" s="267"/>
      <c r="J120" s="267"/>
      <c r="K120" s="267"/>
      <c r="L120" s="267"/>
      <c r="M120" s="267"/>
      <c r="N120" s="10"/>
      <c r="O120" s="130"/>
      <c r="P120" s="261"/>
      <c r="Q120" s="10"/>
      <c r="R120" s="3"/>
      <c r="S120" s="3"/>
      <c r="T120" s="199"/>
      <c r="U120" s="10"/>
      <c r="V120" s="3"/>
      <c r="AN120" s="449"/>
    </row>
    <row r="121" spans="4:40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0"/>
      <c r="O121" s="130"/>
      <c r="P121" s="130"/>
      <c r="Q121" s="10"/>
      <c r="R121" s="3"/>
      <c r="S121" s="3"/>
      <c r="T121" s="383">
        <f>IF(E114&gt;0,I82*0.35,0)</f>
        <v>0</v>
      </c>
      <c r="U121" s="262"/>
      <c r="V121" s="3"/>
      <c r="AN121" s="449"/>
    </row>
    <row r="122" spans="4:40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0"/>
      <c r="O122" s="130"/>
      <c r="P122" s="3"/>
      <c r="Q122" s="10"/>
      <c r="R122" s="3"/>
      <c r="S122" s="3"/>
      <c r="T122" s="262"/>
      <c r="U122" s="262"/>
      <c r="V122" s="3"/>
      <c r="AN122" s="449"/>
    </row>
    <row r="123" spans="4:40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0"/>
      <c r="O123" s="10"/>
      <c r="P123" s="3"/>
      <c r="Q123" s="10"/>
      <c r="R123" s="3"/>
      <c r="S123" s="3"/>
      <c r="T123" s="262"/>
      <c r="U123" s="262"/>
      <c r="V123" s="3"/>
      <c r="AN123" s="449"/>
    </row>
    <row r="124" spans="4:40" ht="12.7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542" t="s">
        <v>103</v>
      </c>
      <c r="O124" s="543"/>
      <c r="P124" s="541">
        <f>T124</f>
        <v>0</v>
      </c>
      <c r="Q124" s="465"/>
      <c r="R124" s="3"/>
      <c r="S124" s="3"/>
      <c r="T124" s="384">
        <f>IF(E114&gt;0,I82-T121,I82)</f>
        <v>0</v>
      </c>
      <c r="U124" s="262"/>
      <c r="V124" s="3"/>
      <c r="AN124" s="449"/>
    </row>
    <row r="125" spans="4:40" ht="12.7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0"/>
      <c r="O125" s="10"/>
      <c r="P125" s="3"/>
      <c r="Q125" s="10"/>
      <c r="R125" s="3"/>
      <c r="S125" s="3"/>
      <c r="T125" s="262"/>
      <c r="U125" s="262"/>
      <c r="V125" s="3"/>
      <c r="AN125" s="449"/>
    </row>
    <row r="126" spans="4:22" ht="12.7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0"/>
      <c r="O126" s="3"/>
      <c r="P126" s="3"/>
      <c r="Q126" s="10"/>
      <c r="R126" s="3"/>
      <c r="S126" s="3"/>
      <c r="T126" s="262"/>
      <c r="U126" s="262"/>
      <c r="V126" s="3"/>
    </row>
    <row r="127" spans="20:22" ht="12.75">
      <c r="T127" s="262"/>
      <c r="U127" s="262"/>
      <c r="V127" s="3"/>
    </row>
  </sheetData>
  <sheetProtection password="8090" sheet="1" objects="1" scenarios="1"/>
  <mergeCells count="70">
    <mergeCell ref="P3:Q3"/>
    <mergeCell ref="F7:Q8"/>
    <mergeCell ref="K4:O4"/>
    <mergeCell ref="K5:O5"/>
    <mergeCell ref="F4:H4"/>
    <mergeCell ref="F5:H5"/>
    <mergeCell ref="P5:Q5"/>
    <mergeCell ref="P4:Q4"/>
    <mergeCell ref="L27:M27"/>
    <mergeCell ref="J26:K26"/>
    <mergeCell ref="J27:K27"/>
    <mergeCell ref="U71:V71"/>
    <mergeCell ref="I35:K37"/>
    <mergeCell ref="L38:M38"/>
    <mergeCell ref="I38:K38"/>
    <mergeCell ref="I39:K39"/>
    <mergeCell ref="I40:K40"/>
    <mergeCell ref="L35:M37"/>
    <mergeCell ref="L39:M39"/>
    <mergeCell ref="L40:M40"/>
    <mergeCell ref="P124:Q124"/>
    <mergeCell ref="K48:M48"/>
    <mergeCell ref="I41:K41"/>
    <mergeCell ref="L41:M41"/>
    <mergeCell ref="N124:O124"/>
    <mergeCell ref="F114:L117"/>
    <mergeCell ref="O114:O117"/>
    <mergeCell ref="P114:P117"/>
    <mergeCell ref="F108:H108"/>
    <mergeCell ref="AC41:AD41"/>
    <mergeCell ref="N29:O29"/>
    <mergeCell ref="AC39:AD39"/>
    <mergeCell ref="N38:O38"/>
    <mergeCell ref="N39:O39"/>
    <mergeCell ref="N40:O40"/>
    <mergeCell ref="N41:O41"/>
    <mergeCell ref="AC40:AD40"/>
    <mergeCell ref="N35:O37"/>
    <mergeCell ref="J22:K22"/>
    <mergeCell ref="N19:O21"/>
    <mergeCell ref="L22:M22"/>
    <mergeCell ref="AC38:AD38"/>
    <mergeCell ref="N22:O22"/>
    <mergeCell ref="N26:O26"/>
    <mergeCell ref="N27:O27"/>
    <mergeCell ref="J23:K23"/>
    <mergeCell ref="N24:O24"/>
    <mergeCell ref="J24:K24"/>
    <mergeCell ref="N23:O23"/>
    <mergeCell ref="L25:M25"/>
    <mergeCell ref="L23:M23"/>
    <mergeCell ref="F37:G37"/>
    <mergeCell ref="F26:G26"/>
    <mergeCell ref="F27:G27"/>
    <mergeCell ref="L24:M24"/>
    <mergeCell ref="J25:K25"/>
    <mergeCell ref="N25:O25"/>
    <mergeCell ref="L26:M26"/>
    <mergeCell ref="F22:G22"/>
    <mergeCell ref="F23:G23"/>
    <mergeCell ref="F24:G24"/>
    <mergeCell ref="F25:G25"/>
    <mergeCell ref="J2:O2"/>
    <mergeCell ref="I19:I21"/>
    <mergeCell ref="F19:G21"/>
    <mergeCell ref="H19:H21"/>
    <mergeCell ref="J19:K21"/>
    <mergeCell ref="L19:M21"/>
    <mergeCell ref="G11:O12"/>
    <mergeCell ref="F2:I2"/>
  </mergeCells>
  <printOptions/>
  <pageMargins left="0.4330708661417323" right="0.2755905511811024" top="0.4330708661417323" bottom="0.35433070866141736" header="0.31496062992125984" footer="0.1968503937007874"/>
  <pageSetup horizontalDpi="600" verticalDpi="600" orientation="portrait" paperSize="9" scale="80" r:id="rId1"/>
  <headerFooter alignWithMargins="0">
    <oddFooter>&amp;Cfoglio "QCC per CD resid"&amp;R&amp;11pag.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AE68"/>
  <sheetViews>
    <sheetView workbookViewId="0" topLeftCell="C1">
      <selection activeCell="AH40" sqref="AH40"/>
    </sheetView>
  </sheetViews>
  <sheetFormatPr defaultColWidth="9.140625" defaultRowHeight="12.75"/>
  <cols>
    <col min="1" max="1" width="3.7109375" style="6" hidden="1" customWidth="1"/>
    <col min="2" max="2" width="3.8515625" style="6" hidden="1" customWidth="1"/>
    <col min="4" max="4" width="1.57421875" style="0" customWidth="1"/>
    <col min="5" max="5" width="2.8515625" style="0" customWidth="1"/>
    <col min="6" max="6" width="9.421875" style="0" customWidth="1"/>
    <col min="8" max="8" width="10.57421875" style="0" customWidth="1"/>
    <col min="9" max="9" width="11.00390625" style="0" customWidth="1"/>
    <col min="10" max="10" width="3.00390625" style="0" customWidth="1"/>
    <col min="11" max="11" width="11.140625" style="0" customWidth="1"/>
    <col min="12" max="12" width="8.00390625" style="0" customWidth="1"/>
    <col min="13" max="13" width="5.28125" style="0" customWidth="1"/>
    <col min="14" max="15" width="7.00390625" style="0" customWidth="1"/>
    <col min="16" max="16" width="7.7109375" style="0" customWidth="1"/>
    <col min="17" max="17" width="3.28125" style="0" customWidth="1"/>
    <col min="18" max="18" width="10.8515625" style="0" customWidth="1"/>
    <col min="19" max="19" width="1.28515625" style="0" customWidth="1"/>
    <col min="20" max="20" width="8.421875" style="0" hidden="1" customWidth="1"/>
    <col min="21" max="21" width="13.28125" style="6" hidden="1" customWidth="1"/>
    <col min="22" max="22" width="10.7109375" style="6" hidden="1" customWidth="1"/>
    <col min="23" max="23" width="10.8515625" style="6" hidden="1" customWidth="1"/>
    <col min="24" max="30" width="0" style="0" hidden="1" customWidth="1"/>
    <col min="31" max="31" width="1.57421875" style="0" customWidth="1"/>
  </cols>
  <sheetData>
    <row r="2" ht="12.75">
      <c r="AE2" s="449"/>
    </row>
    <row r="3" spans="4:31" ht="18.75" customHeight="1">
      <c r="D3" s="3"/>
      <c r="E3" s="609" t="s">
        <v>508</v>
      </c>
      <c r="F3" s="647"/>
      <c r="G3" s="647"/>
      <c r="H3" s="647"/>
      <c r="I3" s="647"/>
      <c r="J3" s="3"/>
      <c r="K3" s="3"/>
      <c r="L3" s="635" t="str">
        <f>IF(A4+B4=2,"Inserire l'uso di progetto e l'uso legittimo","")</f>
        <v>Inserire l'uso di progetto e l'uso legittimo</v>
      </c>
      <c r="M3" s="635"/>
      <c r="N3" s="635"/>
      <c r="O3" s="635"/>
      <c r="P3" s="635"/>
      <c r="Q3" s="635"/>
      <c r="R3" s="3"/>
      <c r="S3" s="3"/>
      <c r="AE3" s="449"/>
    </row>
    <row r="4" spans="1:31" ht="12.75">
      <c r="A4" s="48">
        <f>IF(J4=0,1,0)</f>
        <v>1</v>
      </c>
      <c r="B4" s="48">
        <f>IF(R4=0,1,0)</f>
        <v>1</v>
      </c>
      <c r="D4" s="3"/>
      <c r="E4" s="3"/>
      <c r="F4" s="3"/>
      <c r="G4" s="3"/>
      <c r="H4" s="3"/>
      <c r="I4" s="98" t="s">
        <v>162</v>
      </c>
      <c r="J4" s="639"/>
      <c r="K4" s="640"/>
      <c r="L4" s="3"/>
      <c r="M4" s="3"/>
      <c r="N4" s="3"/>
      <c r="O4" s="3"/>
      <c r="P4" s="645" t="s">
        <v>162</v>
      </c>
      <c r="Q4" s="646"/>
      <c r="R4" s="447"/>
      <c r="S4" s="3"/>
      <c r="AE4" s="449"/>
    </row>
    <row r="5" spans="4:31" ht="12.75">
      <c r="D5" s="3"/>
      <c r="E5" s="3"/>
      <c r="F5" s="633" t="s">
        <v>62</v>
      </c>
      <c r="G5" s="633"/>
      <c r="H5" s="633"/>
      <c r="I5" s="633"/>
      <c r="J5" s="642"/>
      <c r="K5" s="643"/>
      <c r="L5" s="3"/>
      <c r="M5" s="633" t="s">
        <v>64</v>
      </c>
      <c r="N5" s="633"/>
      <c r="O5" s="633"/>
      <c r="P5" s="633"/>
      <c r="Q5" s="633"/>
      <c r="R5" s="411"/>
      <c r="S5" s="3"/>
      <c r="V5" s="192">
        <f>(J5+J6)/2</f>
        <v>0</v>
      </c>
      <c r="W5" s="192">
        <f>(R5+R6)/2</f>
        <v>0</v>
      </c>
      <c r="AE5" s="449"/>
    </row>
    <row r="6" spans="4:31" ht="12.75">
      <c r="D6" s="3"/>
      <c r="E6" s="3"/>
      <c r="F6" s="633" t="s">
        <v>63</v>
      </c>
      <c r="G6" s="633"/>
      <c r="H6" s="633"/>
      <c r="I6" s="633"/>
      <c r="J6" s="642"/>
      <c r="K6" s="643"/>
      <c r="L6" s="3"/>
      <c r="M6" s="633" t="s">
        <v>65</v>
      </c>
      <c r="N6" s="633"/>
      <c r="O6" s="633"/>
      <c r="P6" s="633"/>
      <c r="Q6" s="633"/>
      <c r="R6" s="411"/>
      <c r="S6" s="3"/>
      <c r="AE6" s="449"/>
    </row>
    <row r="7" spans="4:31" ht="12.7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AE7" s="449"/>
    </row>
    <row r="8" spans="4:31" ht="12.75">
      <c r="D8" s="3"/>
      <c r="E8" s="641" t="s">
        <v>66</v>
      </c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3"/>
      <c r="AE8" s="449"/>
    </row>
    <row r="9" spans="4:31" ht="12.75">
      <c r="D9" s="3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3"/>
      <c r="AE9" s="449"/>
    </row>
    <row r="10" spans="4:31" ht="12.7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AE10" s="449"/>
    </row>
    <row r="11" spans="4:31" ht="12.75">
      <c r="D11" s="3"/>
      <c r="E11" s="3"/>
      <c r="F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7" t="s">
        <v>185</v>
      </c>
      <c r="AE11" s="449"/>
    </row>
    <row r="12" spans="4:31" ht="27" customHeight="1">
      <c r="D12" s="3"/>
      <c r="E12" s="3"/>
      <c r="F12" s="644" t="s">
        <v>362</v>
      </c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3"/>
      <c r="T12" s="3"/>
      <c r="AE12" s="449"/>
    </row>
    <row r="13" spans="4:31" ht="37.5" customHeight="1">
      <c r="D13" s="3"/>
      <c r="E13" s="3"/>
      <c r="F13" s="551" t="s">
        <v>316</v>
      </c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3"/>
      <c r="S13" s="3"/>
      <c r="T13" s="3"/>
      <c r="AE13" s="449"/>
    </row>
    <row r="14" spans="4:31" ht="12.75">
      <c r="D14" s="3"/>
      <c r="E14" s="3"/>
      <c r="F14" s="3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3"/>
      <c r="T14" s="3"/>
      <c r="W14" s="126"/>
      <c r="X14" s="5"/>
      <c r="Y14" s="3"/>
      <c r="Z14" s="3"/>
      <c r="AA14" s="3"/>
      <c r="AB14" s="3"/>
      <c r="AC14" s="3"/>
      <c r="AE14" s="449"/>
    </row>
    <row r="15" spans="4:31" ht="12.75">
      <c r="D15" s="3"/>
      <c r="E15" s="3"/>
      <c r="F15" s="3"/>
      <c r="G15" s="3"/>
      <c r="H15" s="5"/>
      <c r="I15" s="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W15" s="126"/>
      <c r="X15" s="3"/>
      <c r="Y15" s="3"/>
      <c r="Z15" s="3"/>
      <c r="AA15" s="3"/>
      <c r="AB15" s="3"/>
      <c r="AC15" s="3"/>
      <c r="AE15" s="449"/>
    </row>
    <row r="16" spans="4:31" ht="12.75">
      <c r="D16" s="3"/>
      <c r="E16" s="3"/>
      <c r="F16" s="551" t="s">
        <v>483</v>
      </c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3"/>
      <c r="S16" s="3"/>
      <c r="T16" s="3"/>
      <c r="AE16" s="449"/>
    </row>
    <row r="17" spans="4:31" ht="12.75">
      <c r="D17" s="3"/>
      <c r="E17" s="3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3"/>
      <c r="S17" s="3"/>
      <c r="T17" s="3"/>
      <c r="AE17" s="449"/>
    </row>
    <row r="18" spans="4:31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AE18" s="449"/>
    </row>
    <row r="19" spans="4:31" ht="12.75">
      <c r="D19" s="3"/>
      <c r="E19" s="3"/>
      <c r="F19" s="3" t="s">
        <v>328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AE19" s="449"/>
    </row>
    <row r="20" spans="4:31" ht="12.7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AE20" s="449"/>
    </row>
    <row r="21" spans="4:31" ht="12.75">
      <c r="D21" s="3"/>
      <c r="E21" s="3"/>
      <c r="F21" s="3"/>
      <c r="G21" s="3"/>
      <c r="H21" s="96" t="s">
        <v>261</v>
      </c>
      <c r="I21" s="148">
        <f>(V5-W5)*0.475</f>
        <v>0</v>
      </c>
      <c r="J21" s="3" t="s">
        <v>259</v>
      </c>
      <c r="K21" s="3"/>
      <c r="L21" s="97"/>
      <c r="M21" s="3"/>
      <c r="N21" s="3"/>
      <c r="O21" s="3"/>
      <c r="P21" s="3"/>
      <c r="Q21" s="3"/>
      <c r="R21" s="3"/>
      <c r="S21" s="3"/>
      <c r="T21" s="3"/>
      <c r="AE21" s="449"/>
    </row>
    <row r="22" spans="4:31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AE22" s="449"/>
    </row>
    <row r="23" spans="4:31" ht="12.7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E23" s="449"/>
    </row>
    <row r="24" spans="4:31" ht="12.75">
      <c r="D24" s="3"/>
      <c r="E24" s="3"/>
      <c r="F24" s="98" t="s">
        <v>153</v>
      </c>
      <c r="G24" s="415"/>
      <c r="H24" s="3" t="s">
        <v>232</v>
      </c>
      <c r="I24" s="98" t="s">
        <v>154</v>
      </c>
      <c r="J24" s="527"/>
      <c r="K24" s="528"/>
      <c r="L24" s="3" t="s">
        <v>232</v>
      </c>
      <c r="M24" s="98" t="s">
        <v>155</v>
      </c>
      <c r="N24" s="572">
        <f>G24+(J24*0.6)</f>
        <v>0</v>
      </c>
      <c r="O24" s="573"/>
      <c r="P24" s="3" t="s">
        <v>232</v>
      </c>
      <c r="Q24" s="3"/>
      <c r="R24" s="3"/>
      <c r="S24" s="3"/>
      <c r="T24" s="3"/>
      <c r="AE24" s="449"/>
    </row>
    <row r="25" spans="4:31" ht="12.7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AE25" s="449"/>
    </row>
    <row r="26" spans="4:31" ht="12.75">
      <c r="D26" s="3"/>
      <c r="E26" s="3"/>
      <c r="F26" s="5" t="s">
        <v>329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8"/>
      <c r="V26" s="48"/>
      <c r="W26" s="48"/>
      <c r="X26" s="37"/>
      <c r="AE26" s="449"/>
    </row>
    <row r="27" spans="4:31" ht="13.5" thickBot="1">
      <c r="D27" s="3"/>
      <c r="E27" s="3"/>
      <c r="F27" s="117" t="str">
        <f>IF(U34=0,"Spuntare una delle percentuali","")</f>
        <v>Spuntare una delle percentuali</v>
      </c>
      <c r="G27" s="3"/>
      <c r="H27" s="3"/>
      <c r="I27" s="3"/>
      <c r="J27" s="3"/>
      <c r="K27" s="117">
        <f>IF(U34&gt;1,"Errore , spuntare solo una delle percentuali","")</f>
      </c>
      <c r="L27" s="3"/>
      <c r="M27" s="3"/>
      <c r="N27" s="3"/>
      <c r="O27" s="3"/>
      <c r="P27" s="3"/>
      <c r="Q27" s="3"/>
      <c r="R27" s="3"/>
      <c r="S27" s="3"/>
      <c r="T27" s="3"/>
      <c r="U27" s="48"/>
      <c r="V27" s="48"/>
      <c r="W27" s="48"/>
      <c r="X27" s="37"/>
      <c r="AE27" s="449"/>
    </row>
    <row r="28" spans="4:31" ht="13.5" thickBot="1">
      <c r="D28" s="3"/>
      <c r="E28" s="294"/>
      <c r="F28" s="120" t="s">
        <v>54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54">
        <f>IF(E28&gt;0,1,"")</f>
      </c>
      <c r="V28" s="54">
        <f>IF(E28&gt;0,10%,"")</f>
      </c>
      <c r="W28" s="54">
        <f>SUM(V28:V32)</f>
        <v>0</v>
      </c>
      <c r="X28" s="37"/>
      <c r="AE28" s="449"/>
    </row>
    <row r="29" spans="4:31" ht="13.5" thickBot="1">
      <c r="D29" s="3"/>
      <c r="E29" s="12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60"/>
      <c r="V29" s="160"/>
      <c r="W29" s="48"/>
      <c r="X29" s="37"/>
      <c r="AE29" s="449"/>
    </row>
    <row r="30" spans="4:31" ht="13.5" thickBot="1">
      <c r="D30" s="3"/>
      <c r="E30" s="294"/>
      <c r="F30" s="120" t="s">
        <v>55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4">
        <f>IF(E30&gt;0,1,"")</f>
      </c>
      <c r="V30" s="54">
        <f>IF(E30&gt;0,10%,"")</f>
      </c>
      <c r="W30" s="48"/>
      <c r="X30" s="37"/>
      <c r="AE30" s="449"/>
    </row>
    <row r="31" spans="4:31" ht="13.5" thickBot="1">
      <c r="D31" s="3"/>
      <c r="E31" s="8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60"/>
      <c r="V31" s="160"/>
      <c r="W31" s="48"/>
      <c r="X31" s="37"/>
      <c r="AE31" s="449"/>
    </row>
    <row r="32" spans="4:31" ht="13.5" thickBot="1">
      <c r="D32" s="3"/>
      <c r="E32" s="294"/>
      <c r="F32" s="120" t="s">
        <v>56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4">
        <f>IF(E32&gt;0,1,"")</f>
      </c>
      <c r="V32" s="54">
        <f>IF(E32&gt;0,7%,"")</f>
      </c>
      <c r="W32" s="48"/>
      <c r="X32" s="37"/>
      <c r="AE32" s="449"/>
    </row>
    <row r="33" spans="4:31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60"/>
      <c r="V33" s="160"/>
      <c r="W33" s="48"/>
      <c r="X33" s="37"/>
      <c r="AE33" s="449"/>
    </row>
    <row r="34" spans="4:31" ht="12.75">
      <c r="D34" s="3"/>
      <c r="E34" s="3"/>
      <c r="F34" s="3"/>
      <c r="G34" s="98" t="s">
        <v>152</v>
      </c>
      <c r="H34" s="180">
        <f>I21*N24</f>
        <v>0</v>
      </c>
      <c r="I34" s="177">
        <f>W28</f>
        <v>0</v>
      </c>
      <c r="J34" s="178" t="s">
        <v>156</v>
      </c>
      <c r="K34" s="179">
        <f>IF(I21&gt;0,H34*I34,0)</f>
        <v>0</v>
      </c>
      <c r="L34" s="3" t="s">
        <v>157</v>
      </c>
      <c r="M34" s="3"/>
      <c r="N34" s="3"/>
      <c r="O34" s="3"/>
      <c r="P34" s="3"/>
      <c r="Q34" s="3"/>
      <c r="R34" s="3"/>
      <c r="S34" s="3"/>
      <c r="T34" s="3"/>
      <c r="U34" s="54">
        <f>SUM(U28:U32)</f>
        <v>0</v>
      </c>
      <c r="V34" s="182">
        <f>K34</f>
        <v>0</v>
      </c>
      <c r="W34" s="48"/>
      <c r="X34" s="37"/>
      <c r="AE34" s="449"/>
    </row>
    <row r="35" spans="4:31" ht="12.75">
      <c r="D35" s="3"/>
      <c r="E35" s="3"/>
      <c r="F35" s="3"/>
      <c r="G35" s="99" t="s">
        <v>152</v>
      </c>
      <c r="H35" s="90" t="s">
        <v>108</v>
      </c>
      <c r="I35" s="90" t="s">
        <v>471</v>
      </c>
      <c r="J35" s="67"/>
      <c r="K35" s="10" t="s">
        <v>475</v>
      </c>
      <c r="L35" s="3"/>
      <c r="M35" s="3"/>
      <c r="N35" s="3"/>
      <c r="O35" s="3"/>
      <c r="P35" s="3"/>
      <c r="Q35" s="3"/>
      <c r="R35" s="3"/>
      <c r="S35" s="3"/>
      <c r="T35" s="3"/>
      <c r="U35" s="48"/>
      <c r="V35" s="48"/>
      <c r="W35" s="48"/>
      <c r="X35" s="37"/>
      <c r="AE35" s="449"/>
    </row>
    <row r="36" spans="4:3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8"/>
      <c r="V36" s="48"/>
      <c r="W36" s="48"/>
      <c r="X36" s="37"/>
      <c r="AE36" s="449"/>
    </row>
    <row r="37" spans="4:31" ht="12.75">
      <c r="D37" s="3"/>
      <c r="E37" s="3"/>
      <c r="F37" s="3"/>
      <c r="G37" s="117">
        <f>IF(U34&gt;1,"Errore , spuntare solo una delle percentuali","")</f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AE37" s="449"/>
    </row>
    <row r="38" spans="4:31" ht="12.75">
      <c r="D38" s="3"/>
      <c r="E38" s="3"/>
      <c r="F38" s="67" t="s">
        <v>158</v>
      </c>
      <c r="G38" s="67"/>
      <c r="H38" s="67"/>
      <c r="I38" s="67"/>
      <c r="J38" s="67"/>
      <c r="K38" s="67"/>
      <c r="L38" s="67"/>
      <c r="M38" s="3"/>
      <c r="N38" s="3"/>
      <c r="O38" s="3"/>
      <c r="P38" s="3"/>
      <c r="Q38" s="3"/>
      <c r="R38" s="3"/>
      <c r="S38" s="3"/>
      <c r="T38" s="3"/>
      <c r="AE38" s="449"/>
    </row>
    <row r="39" spans="4:31" ht="12.75">
      <c r="D39" s="3"/>
      <c r="E39" s="3"/>
      <c r="F39" s="67"/>
      <c r="G39" s="69" t="s">
        <v>191</v>
      </c>
      <c r="H39" s="67"/>
      <c r="I39" s="67"/>
      <c r="J39" s="67"/>
      <c r="K39" s="67"/>
      <c r="L39" s="67"/>
      <c r="M39" s="3"/>
      <c r="N39" s="3"/>
      <c r="O39" s="3"/>
      <c r="P39" s="3"/>
      <c r="Q39" s="3"/>
      <c r="R39" s="3"/>
      <c r="S39" s="3"/>
      <c r="T39" s="3"/>
      <c r="AE39" s="449"/>
    </row>
    <row r="40" spans="4:31" ht="12.75">
      <c r="D40" s="3"/>
      <c r="E40" s="3"/>
      <c r="F40" s="67"/>
      <c r="G40" s="69" t="s">
        <v>183</v>
      </c>
      <c r="H40" s="67"/>
      <c r="I40" s="67"/>
      <c r="J40" s="67"/>
      <c r="K40" s="67"/>
      <c r="L40" s="67"/>
      <c r="M40" s="3"/>
      <c r="N40" s="3"/>
      <c r="O40" s="3"/>
      <c r="P40" s="3"/>
      <c r="Q40" s="3"/>
      <c r="R40" s="3"/>
      <c r="S40" s="3"/>
      <c r="T40" s="3"/>
      <c r="AE40" s="449"/>
    </row>
    <row r="41" spans="4:31" ht="12.75">
      <c r="D41" s="3"/>
      <c r="E41" s="3"/>
      <c r="F41" s="3"/>
      <c r="G41" s="11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AE41" s="449"/>
    </row>
    <row r="42" spans="4:31" ht="13.5" thickBot="1">
      <c r="D42" s="3"/>
      <c r="E42" s="3"/>
      <c r="F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AE42" s="449"/>
    </row>
    <row r="43" spans="4:31" ht="13.5" customHeight="1" thickBot="1">
      <c r="D43" s="3"/>
      <c r="E43" s="294"/>
      <c r="F43" s="500" t="s">
        <v>53</v>
      </c>
      <c r="G43" s="500"/>
      <c r="H43" s="500"/>
      <c r="I43" s="500"/>
      <c r="J43" s="500"/>
      <c r="K43" s="500"/>
      <c r="L43" s="500"/>
      <c r="M43" s="254"/>
      <c r="N43" s="3"/>
      <c r="O43" s="3"/>
      <c r="P43" s="552">
        <v>35</v>
      </c>
      <c r="Q43" s="648" t="s">
        <v>229</v>
      </c>
      <c r="R43" s="3"/>
      <c r="S43" s="3"/>
      <c r="T43" s="3"/>
      <c r="AE43" s="449"/>
    </row>
    <row r="44" spans="4:31" ht="12.75">
      <c r="D44" s="3"/>
      <c r="E44" s="3"/>
      <c r="F44" s="500"/>
      <c r="G44" s="500"/>
      <c r="H44" s="500"/>
      <c r="I44" s="500"/>
      <c r="J44" s="500"/>
      <c r="K44" s="500"/>
      <c r="L44" s="500"/>
      <c r="M44" s="254"/>
      <c r="N44" s="3"/>
      <c r="O44" s="3"/>
      <c r="P44" s="553"/>
      <c r="Q44" s="648"/>
      <c r="R44" s="3"/>
      <c r="S44" s="3"/>
      <c r="T44" s="3"/>
      <c r="AE44" s="449"/>
    </row>
    <row r="45" spans="4:31" ht="12.75">
      <c r="D45" s="3"/>
      <c r="E45" s="3"/>
      <c r="F45" s="500"/>
      <c r="G45" s="500"/>
      <c r="H45" s="500"/>
      <c r="I45" s="500"/>
      <c r="J45" s="500"/>
      <c r="K45" s="500"/>
      <c r="L45" s="500"/>
      <c r="M45" s="254"/>
      <c r="N45" s="3"/>
      <c r="O45" s="3"/>
      <c r="P45" s="553"/>
      <c r="Q45" s="648"/>
      <c r="R45" s="3"/>
      <c r="S45" s="3"/>
      <c r="T45" s="3"/>
      <c r="AE45" s="449"/>
    </row>
    <row r="46" spans="4:31" ht="12.75">
      <c r="D46" s="3"/>
      <c r="E46" s="82"/>
      <c r="F46" s="500"/>
      <c r="G46" s="500"/>
      <c r="H46" s="500"/>
      <c r="I46" s="500"/>
      <c r="J46" s="500"/>
      <c r="K46" s="500"/>
      <c r="L46" s="500"/>
      <c r="M46" s="254"/>
      <c r="N46" s="146"/>
      <c r="O46" s="3"/>
      <c r="P46" s="554"/>
      <c r="Q46" s="648"/>
      <c r="R46" s="3"/>
      <c r="S46" s="3"/>
      <c r="T46" s="3"/>
      <c r="AE46" s="449"/>
    </row>
    <row r="47" spans="4:31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30"/>
      <c r="Q47" s="130"/>
      <c r="R47" s="3"/>
      <c r="S47" s="3"/>
      <c r="T47" s="3"/>
      <c r="U47" s="10"/>
      <c r="V47" s="262"/>
      <c r="W47" s="262"/>
      <c r="X47" s="3"/>
      <c r="AE47" s="449"/>
    </row>
    <row r="48" spans="4:31" ht="12.75" hidden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30"/>
      <c r="Q48" s="130"/>
      <c r="R48" s="3"/>
      <c r="S48" s="3"/>
      <c r="T48" s="3"/>
      <c r="U48" s="10"/>
      <c r="V48" s="262"/>
      <c r="W48" s="262"/>
      <c r="X48" s="3"/>
      <c r="AE48" s="449"/>
    </row>
    <row r="49" spans="4:31" ht="12.75" hidden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30"/>
      <c r="Q49" s="130"/>
      <c r="R49" s="3"/>
      <c r="S49" s="3"/>
      <c r="T49" s="3"/>
      <c r="U49" s="10"/>
      <c r="V49" s="262"/>
      <c r="W49" s="262"/>
      <c r="X49" s="3"/>
      <c r="AE49" s="449"/>
    </row>
    <row r="50" spans="4:31" ht="12.75" hidden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9"/>
      <c r="V50" s="49"/>
      <c r="W50" s="49"/>
      <c r="X50" s="3"/>
      <c r="AE50" s="449"/>
    </row>
    <row r="51" spans="4:31" ht="12.75" hidden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9"/>
      <c r="P51" s="3"/>
      <c r="Q51" s="199"/>
      <c r="R51" s="10"/>
      <c r="S51" s="3"/>
      <c r="U51" s="49"/>
      <c r="V51" s="49"/>
      <c r="W51" s="49"/>
      <c r="X51" s="3"/>
      <c r="AE51" s="449"/>
    </row>
    <row r="52" spans="4:31" ht="12.75" hidden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9"/>
      <c r="V52" s="49"/>
      <c r="W52" s="49"/>
      <c r="X52" s="3"/>
      <c r="AE52" s="449"/>
    </row>
    <row r="53" spans="4:31" ht="12.75" hidden="1">
      <c r="D53" s="3"/>
      <c r="E53" s="82"/>
      <c r="F53" s="254"/>
      <c r="G53" s="254"/>
      <c r="H53" s="254"/>
      <c r="I53" s="254"/>
      <c r="J53" s="254"/>
      <c r="K53" s="254"/>
      <c r="L53" s="254"/>
      <c r="M53" s="254"/>
      <c r="N53" s="3"/>
      <c r="O53" s="3"/>
      <c r="P53" s="130"/>
      <c r="Q53" s="130"/>
      <c r="R53" s="3"/>
      <c r="S53" s="3"/>
      <c r="T53" s="3"/>
      <c r="U53" s="49"/>
      <c r="V53" s="49"/>
      <c r="W53" s="49"/>
      <c r="X53" s="3"/>
      <c r="AE53" s="449"/>
    </row>
    <row r="54" spans="4:31" ht="12.75" hidden="1">
      <c r="D54" s="3"/>
      <c r="E54" s="3"/>
      <c r="F54" s="254"/>
      <c r="G54" s="254"/>
      <c r="H54" s="254"/>
      <c r="I54" s="254"/>
      <c r="J54" s="254"/>
      <c r="K54" s="254"/>
      <c r="L54" s="254"/>
      <c r="M54" s="254"/>
      <c r="N54" s="3"/>
      <c r="O54" s="3"/>
      <c r="P54" s="130"/>
      <c r="Q54" s="130"/>
      <c r="R54" s="3"/>
      <c r="S54" s="3"/>
      <c r="T54" s="3"/>
      <c r="U54" s="49"/>
      <c r="V54" s="49"/>
      <c r="W54" s="49"/>
      <c r="X54" s="3"/>
      <c r="AE54" s="449"/>
    </row>
    <row r="55" spans="4:31" ht="12.75" hidden="1">
      <c r="D55" s="3"/>
      <c r="E55" s="3"/>
      <c r="F55" s="254"/>
      <c r="G55" s="254"/>
      <c r="H55" s="254"/>
      <c r="I55" s="254"/>
      <c r="J55" s="254"/>
      <c r="K55" s="254"/>
      <c r="L55" s="254"/>
      <c r="M55" s="254"/>
      <c r="N55" s="3"/>
      <c r="O55" s="3"/>
      <c r="P55" s="130"/>
      <c r="Q55" s="130"/>
      <c r="R55" s="3"/>
      <c r="S55" s="3"/>
      <c r="T55" s="3"/>
      <c r="U55" s="49"/>
      <c r="V55" s="49"/>
      <c r="W55" s="49"/>
      <c r="X55" s="3"/>
      <c r="AE55" s="449"/>
    </row>
    <row r="56" spans="4:31" ht="12.75" hidden="1">
      <c r="D56" s="3"/>
      <c r="E56" s="3"/>
      <c r="F56" s="254"/>
      <c r="G56" s="254"/>
      <c r="H56" s="254"/>
      <c r="I56" s="254"/>
      <c r="J56" s="254"/>
      <c r="K56" s="254"/>
      <c r="L56" s="254"/>
      <c r="M56" s="254"/>
      <c r="N56" s="3"/>
      <c r="O56" s="3"/>
      <c r="P56" s="130"/>
      <c r="Q56" s="130"/>
      <c r="R56" s="3"/>
      <c r="S56" s="3"/>
      <c r="T56" s="3"/>
      <c r="U56" s="49"/>
      <c r="V56" s="49"/>
      <c r="W56" s="49"/>
      <c r="X56" s="3"/>
      <c r="AE56" s="449"/>
    </row>
    <row r="57" spans="4:31" ht="12.75" hidden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30"/>
      <c r="Q57" s="130"/>
      <c r="R57" s="3"/>
      <c r="S57" s="3"/>
      <c r="T57" s="3"/>
      <c r="U57" s="49"/>
      <c r="V57" s="49"/>
      <c r="W57" s="49"/>
      <c r="X57" s="3"/>
      <c r="AE57" s="449"/>
    </row>
    <row r="58" spans="4:31" ht="12.75" hidden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79"/>
      <c r="P58" s="3"/>
      <c r="Q58" s="199"/>
      <c r="R58" s="10"/>
      <c r="S58" s="3"/>
      <c r="T58" s="3"/>
      <c r="U58" s="49"/>
      <c r="V58" s="49"/>
      <c r="W58" s="49"/>
      <c r="X58" s="3"/>
      <c r="AE58" s="449"/>
    </row>
    <row r="59" spans="4:31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79"/>
      <c r="P59" s="3"/>
      <c r="Q59" s="199"/>
      <c r="R59" s="10"/>
      <c r="S59" s="3"/>
      <c r="T59" s="3"/>
      <c r="U59" s="110">
        <f>IF(E43&gt;0,K34*P43/100,K34)</f>
        <v>0</v>
      </c>
      <c r="V59" s="49"/>
      <c r="W59" s="49"/>
      <c r="X59" s="3"/>
      <c r="AE59" s="449"/>
    </row>
    <row r="60" spans="4:31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9"/>
      <c r="V60" s="266"/>
      <c r="W60" s="49"/>
      <c r="X60" s="3"/>
      <c r="AE60" s="449"/>
    </row>
    <row r="61" spans="4:31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49"/>
      <c r="V61" s="49"/>
      <c r="W61" s="49"/>
      <c r="X61" s="3"/>
      <c r="AE61" s="449"/>
    </row>
    <row r="62" spans="4:31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 t="s">
        <v>103</v>
      </c>
      <c r="P62" s="3"/>
      <c r="Q62" s="541">
        <f>U62</f>
        <v>0</v>
      </c>
      <c r="R62" s="465"/>
      <c r="S62" s="3"/>
      <c r="T62" s="3"/>
      <c r="U62" s="110">
        <f>IF(E43&gt;0,K34-U59,K34)</f>
        <v>0</v>
      </c>
      <c r="V62" s="266"/>
      <c r="W62" s="49"/>
      <c r="X62" s="3"/>
      <c r="AE62" s="449"/>
    </row>
    <row r="63" spans="4:31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/>
      <c r="V63" s="262"/>
      <c r="W63" s="262"/>
      <c r="X63" s="3"/>
      <c r="AE63" s="449"/>
    </row>
    <row r="64" spans="21:31" ht="12.75">
      <c r="U64" s="10"/>
      <c r="V64" s="262"/>
      <c r="W64" s="262"/>
      <c r="X64" s="3"/>
      <c r="AE64" s="449"/>
    </row>
    <row r="65" spans="22:23" ht="12.75">
      <c r="V65" s="134"/>
      <c r="W65" s="134"/>
    </row>
    <row r="68" ht="12.75">
      <c r="F68" s="149"/>
    </row>
  </sheetData>
  <sheetProtection password="8090" sheet="1" objects="1" scenarios="1"/>
  <mergeCells count="20">
    <mergeCell ref="J5:K5"/>
    <mergeCell ref="F6:I6"/>
    <mergeCell ref="Q62:R62"/>
    <mergeCell ref="F13:Q13"/>
    <mergeCell ref="J24:K24"/>
    <mergeCell ref="N24:O24"/>
    <mergeCell ref="Q43:Q46"/>
    <mergeCell ref="F43:L46"/>
    <mergeCell ref="P43:P46"/>
    <mergeCell ref="F16:Q17"/>
    <mergeCell ref="E8:R9"/>
    <mergeCell ref="F12:R12"/>
    <mergeCell ref="M6:Q6"/>
    <mergeCell ref="L3:Q3"/>
    <mergeCell ref="J4:K4"/>
    <mergeCell ref="P4:Q4"/>
    <mergeCell ref="M5:Q5"/>
    <mergeCell ref="E3:I3"/>
    <mergeCell ref="F5:I5"/>
    <mergeCell ref="J6:K6"/>
  </mergeCells>
  <printOptions horizontalCentered="1"/>
  <pageMargins left="0.2362204724409449" right="0.31496062992125984" top="0.35" bottom="0.3937007874015748" header="0.2362204724409449" footer="0.2362204724409449"/>
  <pageSetup horizontalDpi="600" verticalDpi="600" orientation="portrait" paperSize="9" scale="90" r:id="rId1"/>
  <headerFooter alignWithMargins="0">
    <oddFooter>&amp;Cfoglio "QCC per CD  NON resid"&amp;R&amp;9pag.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3:AA88"/>
  <sheetViews>
    <sheetView workbookViewId="0" topLeftCell="B1">
      <selection activeCell="D48" sqref="D48"/>
    </sheetView>
  </sheetViews>
  <sheetFormatPr defaultColWidth="9.140625" defaultRowHeight="12.75"/>
  <cols>
    <col min="2" max="3" width="2.8515625" style="0" customWidth="1"/>
    <col min="4" max="4" width="2.7109375" style="63" customWidth="1"/>
    <col min="5" max="5" width="10.7109375" style="0" customWidth="1"/>
    <col min="7" max="7" width="2.421875" style="0" customWidth="1"/>
    <col min="9" max="9" width="2.28125" style="0" customWidth="1"/>
    <col min="11" max="11" width="2.28125" style="0" customWidth="1"/>
    <col min="14" max="14" width="24.28125" style="0" customWidth="1"/>
    <col min="15" max="15" width="1.7109375" style="0" customWidth="1"/>
    <col min="16" max="16" width="1.57421875" style="0" customWidth="1"/>
    <col min="17" max="17" width="32.7109375" style="0" hidden="1" customWidth="1"/>
    <col min="18" max="24" width="0" style="0" hidden="1" customWidth="1"/>
    <col min="25" max="25" width="0.85546875" style="0" customWidth="1"/>
    <col min="26" max="26" width="1.57421875" style="0" customWidth="1"/>
    <col min="27" max="27" width="0.85546875" style="0" customWidth="1"/>
  </cols>
  <sheetData>
    <row r="3" spans="3:27" ht="12.75">
      <c r="C3" s="3"/>
      <c r="D3" s="12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Y3" s="3"/>
      <c r="Z3" s="3"/>
      <c r="AA3" s="3"/>
    </row>
    <row r="4" spans="3:27" ht="17.25">
      <c r="C4" s="3"/>
      <c r="D4" s="121"/>
      <c r="E4" s="650" t="s">
        <v>509</v>
      </c>
      <c r="F4" s="650"/>
      <c r="G4" s="650"/>
      <c r="H4" s="650"/>
      <c r="I4" s="650"/>
      <c r="J4" s="650"/>
      <c r="K4" s="3"/>
      <c r="L4" s="3"/>
      <c r="M4" s="3"/>
      <c r="N4" s="3"/>
      <c r="O4" s="3"/>
      <c r="P4" s="448"/>
      <c r="Y4" s="3"/>
      <c r="Z4" s="449"/>
      <c r="AA4" s="3"/>
    </row>
    <row r="5" spans="3:27" ht="6.75" customHeight="1">
      <c r="C5" s="3"/>
      <c r="D5" s="12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48"/>
      <c r="Y5" s="3"/>
      <c r="Z5" s="449"/>
      <c r="AA5" s="3"/>
    </row>
    <row r="6" spans="3:27" ht="12.75">
      <c r="C6" s="3"/>
      <c r="D6" s="121"/>
      <c r="E6" s="67" t="s">
        <v>178</v>
      </c>
      <c r="F6" s="107"/>
      <c r="G6" s="67"/>
      <c r="H6" s="67"/>
      <c r="I6" s="67"/>
      <c r="J6" s="67"/>
      <c r="K6" s="67"/>
      <c r="L6" s="67"/>
      <c r="M6" s="67"/>
      <c r="N6" s="67"/>
      <c r="O6" s="67"/>
      <c r="P6" s="448"/>
      <c r="Y6" s="3"/>
      <c r="Z6" s="449"/>
      <c r="AA6" s="3"/>
    </row>
    <row r="7" spans="3:27" ht="27" customHeight="1">
      <c r="C7" s="3"/>
      <c r="D7" s="121"/>
      <c r="E7" s="649" t="s">
        <v>319</v>
      </c>
      <c r="F7" s="649"/>
      <c r="G7" s="649"/>
      <c r="H7" s="649"/>
      <c r="I7" s="649"/>
      <c r="J7" s="649"/>
      <c r="K7" s="649"/>
      <c r="L7" s="649"/>
      <c r="M7" s="649"/>
      <c r="N7" s="649"/>
      <c r="O7" s="434"/>
      <c r="P7" s="448"/>
      <c r="Y7" s="3"/>
      <c r="Z7" s="449"/>
      <c r="AA7" s="3"/>
    </row>
    <row r="8" spans="3:27" ht="7.5" customHeight="1">
      <c r="C8" s="3"/>
      <c r="D8" s="12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448"/>
      <c r="Y8" s="3"/>
      <c r="Z8" s="449"/>
      <c r="AA8" s="3"/>
    </row>
    <row r="9" spans="3:27" ht="12.75">
      <c r="C9" s="3"/>
      <c r="D9" s="121"/>
      <c r="E9" s="67" t="s">
        <v>111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448"/>
      <c r="Y9" s="3"/>
      <c r="Z9" s="449"/>
      <c r="AA9" s="3"/>
    </row>
    <row r="10" spans="3:27" ht="7.5" customHeight="1">
      <c r="C10" s="3"/>
      <c r="D10" s="121"/>
      <c r="E10" s="6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448"/>
      <c r="Y10" s="3"/>
      <c r="Z10" s="449"/>
      <c r="AA10" s="3"/>
    </row>
    <row r="11" spans="3:27" ht="12.75">
      <c r="C11" s="3"/>
      <c r="D11" s="121"/>
      <c r="E11" s="67" t="s">
        <v>119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448"/>
      <c r="Y11" s="3"/>
      <c r="Z11" s="449"/>
      <c r="AA11" s="3"/>
    </row>
    <row r="12" spans="3:27" ht="12.75">
      <c r="C12" s="3"/>
      <c r="D12" s="121"/>
      <c r="E12" s="67" t="s">
        <v>145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448"/>
      <c r="Y12" s="3"/>
      <c r="Z12" s="449"/>
      <c r="AA12" s="3"/>
    </row>
    <row r="13" spans="3:27" ht="12.75">
      <c r="C13" s="3"/>
      <c r="D13" s="121"/>
      <c r="E13" s="67" t="s">
        <v>146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448"/>
      <c r="Y13" s="3"/>
      <c r="Z13" s="449"/>
      <c r="AA13" s="3"/>
    </row>
    <row r="14" spans="3:27" ht="13.5" thickBot="1">
      <c r="C14" s="3"/>
      <c r="D14" s="12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48"/>
      <c r="Y14" s="3"/>
      <c r="Z14" s="449"/>
      <c r="AA14" s="3"/>
    </row>
    <row r="15" spans="3:27" ht="13.5" thickBot="1">
      <c r="C15" s="3"/>
      <c r="D15" s="297"/>
      <c r="E15" s="5" t="s">
        <v>98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448"/>
      <c r="Y15" s="3"/>
      <c r="Z15" s="449"/>
      <c r="AA15" s="3"/>
    </row>
    <row r="16" spans="3:27" ht="8.25" customHeight="1">
      <c r="C16" s="3"/>
      <c r="D16" s="68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448"/>
      <c r="Y16" s="3"/>
      <c r="Z16" s="449"/>
      <c r="AA16" s="3"/>
    </row>
    <row r="17" spans="3:27" ht="9" customHeight="1">
      <c r="C17" s="389"/>
      <c r="D17" s="390"/>
      <c r="E17" s="391"/>
      <c r="F17" s="391"/>
      <c r="G17" s="391"/>
      <c r="H17" s="391"/>
      <c r="I17" s="391"/>
      <c r="J17" s="391"/>
      <c r="K17" s="391"/>
      <c r="L17" s="391"/>
      <c r="M17" s="391"/>
      <c r="N17" s="392"/>
      <c r="O17" s="3"/>
      <c r="P17" s="448"/>
      <c r="Y17" s="3"/>
      <c r="Z17" s="449"/>
      <c r="AA17" s="3"/>
    </row>
    <row r="18" spans="3:27" ht="15">
      <c r="C18" s="393"/>
      <c r="D18" s="121"/>
      <c r="E18" s="3" t="s">
        <v>112</v>
      </c>
      <c r="F18" s="407">
        <f>H18*J18*L18</f>
        <v>0</v>
      </c>
      <c r="G18" s="10" t="s">
        <v>156</v>
      </c>
      <c r="H18" s="188">
        <v>4</v>
      </c>
      <c r="I18" s="66" t="s">
        <v>320</v>
      </c>
      <c r="J18" s="188">
        <f>T25+T29</f>
        <v>0</v>
      </c>
      <c r="K18" s="66" t="s">
        <v>320</v>
      </c>
      <c r="L18" s="415"/>
      <c r="M18" s="3"/>
      <c r="N18" s="394"/>
      <c r="O18" s="3"/>
      <c r="P18" s="448"/>
      <c r="R18" s="38">
        <f>F18</f>
        <v>0</v>
      </c>
      <c r="Y18" s="3"/>
      <c r="Z18" s="449"/>
      <c r="AA18" s="3"/>
    </row>
    <row r="19" spans="3:27" ht="15">
      <c r="C19" s="393"/>
      <c r="D19" s="121"/>
      <c r="E19" s="3"/>
      <c r="F19" s="65" t="s">
        <v>95</v>
      </c>
      <c r="G19" s="10" t="s">
        <v>156</v>
      </c>
      <c r="H19" s="65" t="s">
        <v>164</v>
      </c>
      <c r="I19" s="66" t="s">
        <v>320</v>
      </c>
      <c r="J19" s="65" t="s">
        <v>321</v>
      </c>
      <c r="K19" s="66" t="s">
        <v>320</v>
      </c>
      <c r="L19" s="65" t="s">
        <v>322</v>
      </c>
      <c r="M19" s="3"/>
      <c r="N19" s="394"/>
      <c r="O19" s="3"/>
      <c r="P19" s="448"/>
      <c r="Y19" s="3"/>
      <c r="Z19" s="449"/>
      <c r="AA19" s="3"/>
    </row>
    <row r="20" spans="3:27" ht="12.75">
      <c r="C20" s="393"/>
      <c r="D20" s="121"/>
      <c r="E20" s="3"/>
      <c r="F20" s="3"/>
      <c r="G20" s="3"/>
      <c r="H20" s="3"/>
      <c r="I20" s="3"/>
      <c r="J20" s="3"/>
      <c r="K20" s="3"/>
      <c r="L20" s="3"/>
      <c r="M20" s="3"/>
      <c r="N20" s="394"/>
      <c r="O20" s="3"/>
      <c r="P20" s="448"/>
      <c r="Y20" s="3"/>
      <c r="Z20" s="449"/>
      <c r="AA20" s="3"/>
    </row>
    <row r="21" spans="3:27" ht="12.75">
      <c r="C21" s="393"/>
      <c r="D21" s="121"/>
      <c r="E21" s="3"/>
      <c r="F21" s="3"/>
      <c r="G21" s="3"/>
      <c r="H21" s="3"/>
      <c r="I21" s="3"/>
      <c r="J21" s="3"/>
      <c r="K21" s="3"/>
      <c r="L21" s="3"/>
      <c r="M21" s="3"/>
      <c r="N21" s="394"/>
      <c r="O21" s="3"/>
      <c r="P21" s="448"/>
      <c r="Y21" s="3"/>
      <c r="Z21" s="449"/>
      <c r="AA21" s="3"/>
    </row>
    <row r="22" spans="3:27" ht="12.75">
      <c r="C22" s="393"/>
      <c r="D22" s="121"/>
      <c r="E22" s="67" t="s">
        <v>96</v>
      </c>
      <c r="F22" s="3"/>
      <c r="G22" s="67" t="s">
        <v>113</v>
      </c>
      <c r="H22" s="67"/>
      <c r="I22" s="67"/>
      <c r="J22" s="67"/>
      <c r="K22" s="67"/>
      <c r="L22" s="67"/>
      <c r="M22" s="67"/>
      <c r="N22" s="395"/>
      <c r="O22" s="67"/>
      <c r="P22" s="448"/>
      <c r="Y22" s="3"/>
      <c r="Z22" s="449"/>
      <c r="AA22" s="3"/>
    </row>
    <row r="23" spans="3:27" ht="12.75">
      <c r="C23" s="393"/>
      <c r="D23" s="121"/>
      <c r="E23" s="67"/>
      <c r="F23" s="3"/>
      <c r="G23" s="67" t="s">
        <v>101</v>
      </c>
      <c r="H23" s="67"/>
      <c r="I23" s="67"/>
      <c r="J23" s="67"/>
      <c r="K23" s="67"/>
      <c r="L23" s="67"/>
      <c r="M23" s="67"/>
      <c r="N23" s="395"/>
      <c r="O23" s="67"/>
      <c r="P23" s="448"/>
      <c r="Y23" s="3"/>
      <c r="Z23" s="449"/>
      <c r="AA23" s="3"/>
    </row>
    <row r="24" spans="3:27" ht="13.5" thickBot="1">
      <c r="C24" s="393"/>
      <c r="D24" s="121"/>
      <c r="E24" s="67"/>
      <c r="F24" s="67"/>
      <c r="G24" s="67"/>
      <c r="H24" s="67"/>
      <c r="I24" s="67"/>
      <c r="J24" s="67"/>
      <c r="K24" s="67"/>
      <c r="L24" s="67"/>
      <c r="M24" s="67"/>
      <c r="N24" s="395"/>
      <c r="O24" s="67"/>
      <c r="P24" s="448"/>
      <c r="Y24" s="3"/>
      <c r="Z24" s="449"/>
      <c r="AA24" s="3"/>
    </row>
    <row r="25" spans="3:27" ht="13.5" thickBot="1">
      <c r="C25" s="393"/>
      <c r="D25" s="297"/>
      <c r="E25" s="67"/>
      <c r="F25" s="3"/>
      <c r="G25" s="69" t="s">
        <v>168</v>
      </c>
      <c r="H25" s="67"/>
      <c r="I25" s="67"/>
      <c r="J25" s="67"/>
      <c r="K25" s="67"/>
      <c r="L25" s="67"/>
      <c r="M25" s="67"/>
      <c r="N25" s="395"/>
      <c r="O25" s="67"/>
      <c r="P25" s="448"/>
      <c r="T25" s="38">
        <f>IF(D25&gt;0,1.5,0)</f>
        <v>0</v>
      </c>
      <c r="Y25" s="3"/>
      <c r="Z25" s="449"/>
      <c r="AA25" s="3"/>
    </row>
    <row r="26" spans="3:27" ht="12.75">
      <c r="C26" s="393"/>
      <c r="D26" s="189" t="s">
        <v>93</v>
      </c>
      <c r="E26" s="67"/>
      <c r="F26" s="3"/>
      <c r="G26" s="67" t="s">
        <v>114</v>
      </c>
      <c r="H26" s="67"/>
      <c r="I26" s="67"/>
      <c r="J26" s="67"/>
      <c r="K26" s="67"/>
      <c r="L26" s="67"/>
      <c r="M26" s="67"/>
      <c r="N26" s="395"/>
      <c r="O26" s="67"/>
      <c r="P26" s="448"/>
      <c r="Y26" s="3"/>
      <c r="Z26" s="449"/>
      <c r="AA26" s="3"/>
    </row>
    <row r="27" spans="3:27" ht="12.75">
      <c r="C27" s="393"/>
      <c r="D27" s="121"/>
      <c r="E27" s="67"/>
      <c r="F27" s="3"/>
      <c r="G27" s="67" t="s">
        <v>115</v>
      </c>
      <c r="H27" s="3"/>
      <c r="I27" s="67"/>
      <c r="J27" s="67"/>
      <c r="K27" s="67"/>
      <c r="L27" s="67"/>
      <c r="M27" s="67"/>
      <c r="N27" s="395"/>
      <c r="O27" s="67"/>
      <c r="P27" s="448"/>
      <c r="Y27" s="3"/>
      <c r="Z27" s="449"/>
      <c r="AA27" s="3"/>
    </row>
    <row r="28" spans="3:27" ht="13.5" thickBot="1">
      <c r="C28" s="393"/>
      <c r="D28" s="121"/>
      <c r="E28" s="67"/>
      <c r="F28" s="67"/>
      <c r="G28" s="67"/>
      <c r="H28" s="67"/>
      <c r="I28" s="67"/>
      <c r="J28" s="67"/>
      <c r="K28" s="67"/>
      <c r="L28" s="67"/>
      <c r="M28" s="67"/>
      <c r="N28" s="395"/>
      <c r="O28" s="67"/>
      <c r="P28" s="448"/>
      <c r="Y28" s="3"/>
      <c r="Z28" s="449"/>
      <c r="AA28" s="3"/>
    </row>
    <row r="29" spans="3:27" ht="13.5" thickBot="1">
      <c r="C29" s="393"/>
      <c r="D29" s="297"/>
      <c r="E29" s="67"/>
      <c r="F29" s="67"/>
      <c r="G29" s="69" t="s">
        <v>169</v>
      </c>
      <c r="H29" s="67"/>
      <c r="I29" s="67"/>
      <c r="J29" s="67"/>
      <c r="K29" s="67"/>
      <c r="L29" s="67"/>
      <c r="M29" s="67"/>
      <c r="N29" s="395"/>
      <c r="O29" s="67"/>
      <c r="P29" s="448"/>
      <c r="T29" s="38">
        <f>IF(D29&gt;0,1,0)</f>
        <v>0</v>
      </c>
      <c r="Y29" s="3"/>
      <c r="Z29" s="449"/>
      <c r="AA29" s="3"/>
    </row>
    <row r="30" spans="3:27" ht="12.75">
      <c r="C30" s="393"/>
      <c r="D30" s="418" t="s">
        <v>93</v>
      </c>
      <c r="E30" s="3"/>
      <c r="F30" s="3"/>
      <c r="G30" s="3"/>
      <c r="H30" s="3"/>
      <c r="I30" s="3"/>
      <c r="J30" s="3"/>
      <c r="K30" s="3"/>
      <c r="L30" s="3"/>
      <c r="M30" s="3"/>
      <c r="N30" s="394"/>
      <c r="O30" s="3"/>
      <c r="P30" s="448"/>
      <c r="Y30" s="3"/>
      <c r="Z30" s="449"/>
      <c r="AA30" s="3"/>
    </row>
    <row r="31" spans="3:27" ht="12.75">
      <c r="C31" s="396"/>
      <c r="D31" s="397"/>
      <c r="E31" s="398"/>
      <c r="F31" s="398"/>
      <c r="G31" s="398"/>
      <c r="H31" s="399">
        <f>IF(J18&gt;2,"Errore spuntare solo una condizione","")</f>
      </c>
      <c r="I31" s="398"/>
      <c r="J31" s="398"/>
      <c r="K31" s="398"/>
      <c r="L31" s="398"/>
      <c r="M31" s="398"/>
      <c r="N31" s="400"/>
      <c r="O31" s="3"/>
      <c r="P31" s="448"/>
      <c r="Y31" s="3"/>
      <c r="Z31" s="449"/>
      <c r="AA31" s="3"/>
    </row>
    <row r="32" spans="3:27" ht="28.5" customHeight="1" thickBot="1">
      <c r="C32" s="3"/>
      <c r="D32" s="1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48"/>
      <c r="Y32" s="3"/>
      <c r="Z32" s="449"/>
      <c r="AA32" s="3"/>
    </row>
    <row r="33" spans="3:27" ht="13.5" thickBot="1">
      <c r="C33" s="3"/>
      <c r="D33" s="297"/>
      <c r="E33" s="5" t="s">
        <v>97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448"/>
      <c r="Y33" s="3"/>
      <c r="Z33" s="449"/>
      <c r="AA33" s="3"/>
    </row>
    <row r="34" spans="3:27" ht="12.75">
      <c r="C34" s="3"/>
      <c r="D34" s="68"/>
      <c r="E34" s="67" t="s">
        <v>318</v>
      </c>
      <c r="F34" s="67"/>
      <c r="G34" s="67"/>
      <c r="H34" s="67"/>
      <c r="I34" s="67"/>
      <c r="J34" s="67"/>
      <c r="K34" s="67"/>
      <c r="L34" s="67"/>
      <c r="M34" s="3"/>
      <c r="N34" s="3"/>
      <c r="O34" s="3"/>
      <c r="P34" s="448"/>
      <c r="Y34" s="3"/>
      <c r="Z34" s="449"/>
      <c r="AA34" s="3"/>
    </row>
    <row r="35" spans="3:27" ht="9" customHeight="1">
      <c r="C35" s="3"/>
      <c r="D35" s="68"/>
      <c r="E35" s="67"/>
      <c r="F35" s="67"/>
      <c r="G35" s="67"/>
      <c r="H35" s="67"/>
      <c r="I35" s="67"/>
      <c r="J35" s="67"/>
      <c r="K35" s="67"/>
      <c r="L35" s="67"/>
      <c r="M35" s="3"/>
      <c r="N35" s="3"/>
      <c r="O35" s="3"/>
      <c r="P35" s="448"/>
      <c r="Y35" s="3"/>
      <c r="Z35" s="449"/>
      <c r="AA35" s="3"/>
    </row>
    <row r="36" spans="3:27" ht="9" customHeight="1">
      <c r="C36" s="389"/>
      <c r="D36" s="390"/>
      <c r="E36" s="391"/>
      <c r="F36" s="391"/>
      <c r="G36" s="391"/>
      <c r="H36" s="391"/>
      <c r="I36" s="391"/>
      <c r="J36" s="391"/>
      <c r="K36" s="391"/>
      <c r="L36" s="391"/>
      <c r="M36" s="391"/>
      <c r="N36" s="392"/>
      <c r="O36" s="3"/>
      <c r="P36" s="448"/>
      <c r="Y36" s="3"/>
      <c r="Z36" s="449"/>
      <c r="AA36" s="3"/>
    </row>
    <row r="37" spans="3:27" ht="15">
      <c r="C37" s="393"/>
      <c r="D37" s="121"/>
      <c r="E37" s="3" t="s">
        <v>112</v>
      </c>
      <c r="F37" s="407">
        <f>H37*J37*L37</f>
        <v>0</v>
      </c>
      <c r="G37" s="10" t="s">
        <v>156</v>
      </c>
      <c r="H37" s="188">
        <v>3</v>
      </c>
      <c r="I37" s="66" t="s">
        <v>320</v>
      </c>
      <c r="J37" s="188">
        <f>SUM(T44:T51)</f>
        <v>0</v>
      </c>
      <c r="K37" s="66" t="s">
        <v>320</v>
      </c>
      <c r="L37" s="415"/>
      <c r="M37" s="3"/>
      <c r="N37" s="394"/>
      <c r="O37" s="3"/>
      <c r="P37" s="448"/>
      <c r="R37" s="38">
        <f>F37</f>
        <v>0</v>
      </c>
      <c r="Y37" s="3"/>
      <c r="Z37" s="449"/>
      <c r="AA37" s="3"/>
    </row>
    <row r="38" spans="3:27" ht="15">
      <c r="C38" s="393"/>
      <c r="D38" s="121"/>
      <c r="E38" s="3"/>
      <c r="F38" s="65" t="s">
        <v>165</v>
      </c>
      <c r="G38" s="10" t="s">
        <v>156</v>
      </c>
      <c r="H38" s="65" t="s">
        <v>166</v>
      </c>
      <c r="I38" s="66" t="s">
        <v>320</v>
      </c>
      <c r="J38" s="65" t="s">
        <v>167</v>
      </c>
      <c r="K38" s="66" t="s">
        <v>320</v>
      </c>
      <c r="L38" s="65" t="s">
        <v>322</v>
      </c>
      <c r="M38" s="3"/>
      <c r="N38" s="394"/>
      <c r="O38" s="3"/>
      <c r="P38" s="448"/>
      <c r="Y38" s="3"/>
      <c r="Z38" s="449"/>
      <c r="AA38" s="3"/>
    </row>
    <row r="39" spans="3:27" ht="12.75">
      <c r="C39" s="393"/>
      <c r="D39" s="121"/>
      <c r="E39" s="3"/>
      <c r="F39" s="3"/>
      <c r="G39" s="3"/>
      <c r="H39" s="3"/>
      <c r="I39" s="3"/>
      <c r="J39" s="3"/>
      <c r="K39" s="3"/>
      <c r="L39" s="3"/>
      <c r="M39" s="3"/>
      <c r="N39" s="394"/>
      <c r="O39" s="3"/>
      <c r="P39" s="448"/>
      <c r="Y39" s="3"/>
      <c r="Z39" s="449"/>
      <c r="AA39" s="3"/>
    </row>
    <row r="40" spans="3:27" ht="12.75">
      <c r="C40" s="393"/>
      <c r="D40" s="121"/>
      <c r="E40" s="3"/>
      <c r="F40" s="3"/>
      <c r="G40" s="3"/>
      <c r="H40" s="3"/>
      <c r="I40" s="3"/>
      <c r="J40" s="3"/>
      <c r="K40" s="3"/>
      <c r="L40" s="3"/>
      <c r="M40" s="3"/>
      <c r="N40" s="394"/>
      <c r="O40" s="3"/>
      <c r="P40" s="448"/>
      <c r="Y40" s="3"/>
      <c r="Z40" s="449"/>
      <c r="AA40" s="3"/>
    </row>
    <row r="41" spans="3:27" ht="12.75">
      <c r="C41" s="393"/>
      <c r="D41" s="121"/>
      <c r="E41" s="67" t="s">
        <v>96</v>
      </c>
      <c r="F41" s="3"/>
      <c r="G41" s="67" t="s">
        <v>116</v>
      </c>
      <c r="H41" s="67"/>
      <c r="I41" s="67"/>
      <c r="J41" s="67"/>
      <c r="K41" s="67"/>
      <c r="L41" s="67"/>
      <c r="M41" s="67"/>
      <c r="N41" s="395"/>
      <c r="O41" s="67"/>
      <c r="P41" s="448"/>
      <c r="Y41" s="3"/>
      <c r="Z41" s="449"/>
      <c r="AA41" s="3"/>
    </row>
    <row r="42" spans="3:27" ht="12.75">
      <c r="C42" s="393"/>
      <c r="D42" s="121"/>
      <c r="E42" s="67"/>
      <c r="F42" s="3"/>
      <c r="G42" s="67" t="s">
        <v>102</v>
      </c>
      <c r="H42" s="67"/>
      <c r="I42" s="67"/>
      <c r="J42" s="67"/>
      <c r="K42" s="67"/>
      <c r="L42" s="67"/>
      <c r="M42" s="67"/>
      <c r="N42" s="395"/>
      <c r="O42" s="67"/>
      <c r="P42" s="448"/>
      <c r="Y42" s="3"/>
      <c r="Z42" s="449"/>
      <c r="AA42" s="3"/>
    </row>
    <row r="43" spans="3:27" ht="13.5" thickBot="1">
      <c r="C43" s="393"/>
      <c r="D43" s="121"/>
      <c r="E43" s="67"/>
      <c r="F43" s="67"/>
      <c r="G43" s="67"/>
      <c r="H43" s="67"/>
      <c r="I43" s="67"/>
      <c r="J43" s="67"/>
      <c r="K43" s="67"/>
      <c r="L43" s="67"/>
      <c r="M43" s="67"/>
      <c r="N43" s="395"/>
      <c r="O43" s="67"/>
      <c r="P43" s="448"/>
      <c r="Y43" s="3"/>
      <c r="Z43" s="449"/>
      <c r="AA43" s="3"/>
    </row>
    <row r="44" spans="3:27" ht="13.5" thickBot="1">
      <c r="C44" s="393"/>
      <c r="D44" s="297"/>
      <c r="E44" s="67"/>
      <c r="F44" s="3"/>
      <c r="G44" s="69" t="s">
        <v>170</v>
      </c>
      <c r="H44" s="67"/>
      <c r="I44" s="67"/>
      <c r="J44" s="67"/>
      <c r="K44" s="67"/>
      <c r="L44" s="67"/>
      <c r="M44" s="67"/>
      <c r="N44" s="395"/>
      <c r="O44" s="67"/>
      <c r="P44" s="448"/>
      <c r="T44" s="38">
        <f>IF(D44&gt;0,1.5,0)</f>
        <v>0</v>
      </c>
      <c r="Y44" s="3"/>
      <c r="Z44" s="449"/>
      <c r="AA44" s="3"/>
    </row>
    <row r="45" spans="3:27" ht="12.75">
      <c r="C45" s="393"/>
      <c r="D45" s="189" t="s">
        <v>93</v>
      </c>
      <c r="E45" s="67"/>
      <c r="F45" s="3"/>
      <c r="G45" s="67" t="s">
        <v>117</v>
      </c>
      <c r="H45" s="67"/>
      <c r="I45" s="67"/>
      <c r="J45" s="67"/>
      <c r="K45" s="67"/>
      <c r="L45" s="67"/>
      <c r="M45" s="67"/>
      <c r="N45" s="395"/>
      <c r="O45" s="67"/>
      <c r="P45" s="448"/>
      <c r="Y45" s="3"/>
      <c r="Z45" s="449"/>
      <c r="AA45" s="3"/>
    </row>
    <row r="46" spans="3:27" ht="12.75">
      <c r="C46" s="393"/>
      <c r="D46" s="121"/>
      <c r="E46" s="67"/>
      <c r="F46" s="3"/>
      <c r="G46" s="67" t="s">
        <v>118</v>
      </c>
      <c r="H46" s="67"/>
      <c r="I46" s="67"/>
      <c r="J46" s="67"/>
      <c r="K46" s="67"/>
      <c r="L46" s="67"/>
      <c r="M46" s="67"/>
      <c r="N46" s="395"/>
      <c r="O46" s="67"/>
      <c r="P46" s="448"/>
      <c r="Y46" s="3"/>
      <c r="Z46" s="449"/>
      <c r="AA46" s="3"/>
    </row>
    <row r="47" spans="3:27" ht="13.5" thickBot="1">
      <c r="C47" s="393"/>
      <c r="D47" s="121"/>
      <c r="E47" s="67"/>
      <c r="F47" s="67"/>
      <c r="G47" s="67"/>
      <c r="H47" s="67"/>
      <c r="I47" s="67"/>
      <c r="J47" s="67"/>
      <c r="K47" s="67"/>
      <c r="L47" s="67"/>
      <c r="M47" s="67"/>
      <c r="N47" s="395"/>
      <c r="O47" s="67"/>
      <c r="P47" s="448"/>
      <c r="Y47" s="3"/>
      <c r="Z47" s="449"/>
      <c r="AA47" s="3"/>
    </row>
    <row r="48" spans="3:27" ht="13.5" thickBot="1">
      <c r="C48" s="393"/>
      <c r="D48" s="297"/>
      <c r="E48" s="67"/>
      <c r="F48" s="3"/>
      <c r="G48" s="69" t="s">
        <v>171</v>
      </c>
      <c r="H48" s="67"/>
      <c r="I48" s="67"/>
      <c r="J48" s="67"/>
      <c r="K48" s="67"/>
      <c r="L48" s="67"/>
      <c r="M48" s="67"/>
      <c r="N48" s="395"/>
      <c r="O48" s="67"/>
      <c r="P48" s="448"/>
      <c r="Q48" s="11">
        <f>IF(T48+T51=1.5,"Errore spuntare solo una condizione","")</f>
      </c>
      <c r="T48" s="38">
        <f>IF(D48&gt;0,0.5,0)</f>
        <v>0</v>
      </c>
      <c r="Y48" s="3"/>
      <c r="Z48" s="449"/>
      <c r="AA48" s="3"/>
    </row>
    <row r="49" spans="3:27" ht="12.75">
      <c r="C49" s="393"/>
      <c r="D49" s="189" t="s">
        <v>93</v>
      </c>
      <c r="E49" s="67"/>
      <c r="F49" s="3"/>
      <c r="G49" s="67" t="s">
        <v>395</v>
      </c>
      <c r="H49" s="67"/>
      <c r="I49" s="67"/>
      <c r="J49" s="67"/>
      <c r="K49" s="67"/>
      <c r="L49" s="67"/>
      <c r="M49" s="67"/>
      <c r="N49" s="395"/>
      <c r="O49" s="67"/>
      <c r="P49" s="448"/>
      <c r="Y49" s="3"/>
      <c r="Z49" s="449"/>
      <c r="AA49" s="3"/>
    </row>
    <row r="50" spans="3:27" ht="13.5" thickBot="1">
      <c r="C50" s="393"/>
      <c r="D50" s="121"/>
      <c r="E50" s="67"/>
      <c r="F50" s="3"/>
      <c r="G50" s="67"/>
      <c r="H50" s="67"/>
      <c r="I50" s="67"/>
      <c r="J50" s="67"/>
      <c r="K50" s="67"/>
      <c r="L50" s="67"/>
      <c r="M50" s="67"/>
      <c r="N50" s="395"/>
      <c r="O50" s="67"/>
      <c r="P50" s="448"/>
      <c r="Y50" s="3"/>
      <c r="Z50" s="449"/>
      <c r="AA50" s="3"/>
    </row>
    <row r="51" spans="3:27" ht="13.5" thickBot="1">
      <c r="C51" s="393"/>
      <c r="D51" s="297"/>
      <c r="E51" s="67"/>
      <c r="F51" s="3"/>
      <c r="G51" s="69" t="s">
        <v>177</v>
      </c>
      <c r="H51" s="67"/>
      <c r="I51" s="67"/>
      <c r="J51" s="67"/>
      <c r="K51" s="67"/>
      <c r="L51" s="67"/>
      <c r="M51" s="67"/>
      <c r="N51" s="395"/>
      <c r="O51" s="67"/>
      <c r="P51" s="448"/>
      <c r="T51" s="38">
        <f>IF(D51&gt;0,1,0)</f>
        <v>0</v>
      </c>
      <c r="Y51" s="3"/>
      <c r="Z51" s="449"/>
      <c r="AA51" s="3"/>
    </row>
    <row r="52" spans="3:27" ht="12.75">
      <c r="C52" s="393"/>
      <c r="D52" s="189" t="s">
        <v>93</v>
      </c>
      <c r="E52" s="3"/>
      <c r="F52" s="3"/>
      <c r="G52" s="3"/>
      <c r="H52" s="117">
        <f>IF(T44+T51=2.5,"Errore spuntare solo una condizione","")</f>
      </c>
      <c r="I52" s="3"/>
      <c r="J52" s="3"/>
      <c r="K52" s="3"/>
      <c r="L52" s="3"/>
      <c r="M52" s="3"/>
      <c r="N52" s="394"/>
      <c r="O52" s="3"/>
      <c r="P52" s="448"/>
      <c r="Y52" s="3"/>
      <c r="Z52" s="449"/>
      <c r="AA52" s="3"/>
    </row>
    <row r="53" spans="3:27" ht="12.75">
      <c r="C53" s="396"/>
      <c r="D53" s="397"/>
      <c r="E53" s="398"/>
      <c r="F53" s="398"/>
      <c r="G53" s="398"/>
      <c r="H53" s="398"/>
      <c r="I53" s="398"/>
      <c r="J53" s="398"/>
      <c r="K53" s="398"/>
      <c r="L53" s="398"/>
      <c r="M53" s="398"/>
      <c r="N53" s="400"/>
      <c r="O53" s="3"/>
      <c r="P53" s="448"/>
      <c r="Y53" s="3"/>
      <c r="Z53" s="449"/>
      <c r="AA53" s="3"/>
    </row>
    <row r="54" spans="2:27" ht="12.75">
      <c r="B54" s="2"/>
      <c r="C54" s="2"/>
      <c r="D54" s="71"/>
      <c r="P54" s="2"/>
      <c r="Q54" s="2"/>
      <c r="R54" s="2"/>
      <c r="Y54" s="2"/>
      <c r="Z54" s="2"/>
      <c r="AA54" s="2"/>
    </row>
    <row r="55" spans="2:27" ht="12.75">
      <c r="B55" s="2"/>
      <c r="C55" s="2"/>
      <c r="D55" s="71"/>
      <c r="G55" s="11">
        <f>IF(T44+T48=2,"Errore spuntare solo una condizione","")</f>
      </c>
      <c r="P55" s="2"/>
      <c r="Q55" s="2"/>
      <c r="R55" s="2"/>
      <c r="Y55" s="2"/>
      <c r="Z55" s="2"/>
      <c r="AA55" s="2"/>
    </row>
    <row r="56" spans="2:27" ht="12.75">
      <c r="B56" s="2"/>
      <c r="C56" s="2"/>
      <c r="D56" s="71"/>
      <c r="P56" s="2"/>
      <c r="Q56" s="2"/>
      <c r="R56" s="2"/>
      <c r="Y56" s="2"/>
      <c r="Z56" s="2"/>
      <c r="AA56" s="2"/>
    </row>
    <row r="57" spans="2:27" ht="12.75">
      <c r="B57" s="2"/>
      <c r="C57" s="2"/>
      <c r="D57" s="71"/>
      <c r="P57" s="2"/>
      <c r="Q57" s="2"/>
      <c r="R57" s="2"/>
      <c r="Y57" s="2"/>
      <c r="Z57" s="2"/>
      <c r="AA57" s="2"/>
    </row>
    <row r="58" spans="2:27" ht="12.75">
      <c r="B58" s="2"/>
      <c r="C58" s="2"/>
      <c r="D58" s="71"/>
      <c r="P58" s="2"/>
      <c r="Q58" s="2"/>
      <c r="R58" s="2"/>
      <c r="Y58" s="2"/>
      <c r="Z58" s="2"/>
      <c r="AA58" s="2"/>
    </row>
    <row r="59" spans="2:27" ht="12.75">
      <c r="B59" s="2"/>
      <c r="C59" s="2"/>
      <c r="D59" s="71"/>
      <c r="P59" s="2"/>
      <c r="Q59" s="2"/>
      <c r="R59" s="2"/>
      <c r="Y59" s="2"/>
      <c r="Z59" s="2"/>
      <c r="AA59" s="2"/>
    </row>
    <row r="60" spans="2:27" ht="12.75">
      <c r="B60" s="2"/>
      <c r="C60" s="2"/>
      <c r="D60" s="71"/>
      <c r="P60" s="2"/>
      <c r="Q60" s="2"/>
      <c r="R60" s="2"/>
      <c r="Y60" s="2"/>
      <c r="Z60" s="2"/>
      <c r="AA60" s="2"/>
    </row>
    <row r="61" spans="2:27" ht="12.75">
      <c r="B61" s="2"/>
      <c r="C61" s="2"/>
      <c r="D61" s="71"/>
      <c r="P61" s="2"/>
      <c r="Q61" s="2"/>
      <c r="R61" s="2"/>
      <c r="Y61" s="2"/>
      <c r="Z61" s="2"/>
      <c r="AA61" s="2"/>
    </row>
    <row r="62" spans="2:27" ht="12.75">
      <c r="B62" s="2"/>
      <c r="C62" s="2"/>
      <c r="D62" s="71"/>
      <c r="P62" s="2"/>
      <c r="Q62" s="2"/>
      <c r="R62" s="2"/>
      <c r="Y62" s="2"/>
      <c r="Z62" s="2"/>
      <c r="AA62" s="2"/>
    </row>
    <row r="63" spans="2:27" ht="12.75">
      <c r="B63" s="2"/>
      <c r="C63" s="2"/>
      <c r="D63" s="71"/>
      <c r="P63" s="2"/>
      <c r="Q63" s="2"/>
      <c r="R63" s="2"/>
      <c r="Y63" s="2"/>
      <c r="Z63" s="2"/>
      <c r="AA63" s="2"/>
    </row>
    <row r="64" spans="2:27" ht="12.75">
      <c r="B64" s="2"/>
      <c r="C64" s="2"/>
      <c r="D64" s="71"/>
      <c r="P64" s="2"/>
      <c r="Q64" s="2"/>
      <c r="R64" s="2"/>
      <c r="Y64" s="2"/>
      <c r="Z64" s="2"/>
      <c r="AA64" s="2"/>
    </row>
    <row r="65" spans="2:27" ht="12.75">
      <c r="B65" s="2"/>
      <c r="C65" s="2"/>
      <c r="D65" s="71"/>
      <c r="P65" s="2"/>
      <c r="Q65" s="2"/>
      <c r="R65" s="2"/>
      <c r="Y65" s="2"/>
      <c r="Z65" s="2"/>
      <c r="AA65" s="2"/>
    </row>
    <row r="66" spans="2:27" ht="12.75">
      <c r="B66" s="2"/>
      <c r="C66" s="2"/>
      <c r="D66" s="70"/>
      <c r="P66" s="2"/>
      <c r="Q66" s="2"/>
      <c r="R66" s="2"/>
      <c r="Y66" s="2"/>
      <c r="Z66" s="2"/>
      <c r="AA66" s="2"/>
    </row>
    <row r="67" spans="2:27" s="11" customFormat="1" ht="12.75">
      <c r="B67" s="72"/>
      <c r="C67" s="72"/>
      <c r="D67" s="71"/>
      <c r="P67" s="72"/>
      <c r="Q67" s="72"/>
      <c r="R67" s="72"/>
      <c r="Y67" s="72"/>
      <c r="Z67" s="72"/>
      <c r="AA67" s="72"/>
    </row>
    <row r="68" spans="2:27" s="11" customFormat="1" ht="12.75">
      <c r="B68" s="72"/>
      <c r="C68" s="72"/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Y68" s="72"/>
      <c r="Z68" s="72"/>
      <c r="AA68" s="72"/>
    </row>
    <row r="69" spans="2:27" s="11" customFormat="1" ht="12.75">
      <c r="B69" s="72"/>
      <c r="C69" s="72"/>
      <c r="D69" s="71"/>
      <c r="E69" s="72"/>
      <c r="F69" s="72"/>
      <c r="G69" s="72"/>
      <c r="H69" s="73"/>
      <c r="I69" s="72"/>
      <c r="J69" s="72"/>
      <c r="K69" s="72"/>
      <c r="L69" s="72"/>
      <c r="M69" s="72"/>
      <c r="N69" s="72"/>
      <c r="O69" s="72"/>
      <c r="P69" s="72"/>
      <c r="Q69" s="72"/>
      <c r="R69" s="72"/>
      <c r="Y69" s="72"/>
      <c r="Z69" s="72"/>
      <c r="AA69" s="72"/>
    </row>
    <row r="70" spans="2:27" s="11" customFormat="1" ht="12.75">
      <c r="B70" s="72"/>
      <c r="C70" s="72"/>
      <c r="D70" s="71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Y70" s="72"/>
      <c r="Z70" s="72"/>
      <c r="AA70" s="72"/>
    </row>
    <row r="71" spans="2:27" s="11" customFormat="1" ht="12.75">
      <c r="B71" s="72"/>
      <c r="C71" s="72"/>
      <c r="D71" s="71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Y71" s="72"/>
      <c r="Z71" s="72"/>
      <c r="AA71" s="72"/>
    </row>
    <row r="72" spans="2:27" s="11" customFormat="1" ht="12.75">
      <c r="B72" s="72"/>
      <c r="C72" s="72"/>
      <c r="D72" s="71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Y72" s="72"/>
      <c r="Z72" s="72"/>
      <c r="AA72" s="72"/>
    </row>
    <row r="73" spans="2:27" s="11" customFormat="1" ht="12.75">
      <c r="B73" s="72"/>
      <c r="C73" s="72"/>
      <c r="D73" s="71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Y73" s="72"/>
      <c r="Z73" s="72"/>
      <c r="AA73" s="72"/>
    </row>
    <row r="74" spans="2:27" s="11" customFormat="1" ht="12.75">
      <c r="B74" s="72"/>
      <c r="C74" s="72"/>
      <c r="D74" s="71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Y74" s="72"/>
      <c r="Z74" s="72"/>
      <c r="AA74" s="72"/>
    </row>
    <row r="75" spans="2:27" ht="12.75">
      <c r="B75" s="2"/>
      <c r="C75" s="2"/>
      <c r="D75" s="70"/>
      <c r="E75" s="72"/>
      <c r="F75" s="72"/>
      <c r="G75" s="72"/>
      <c r="H75" s="74"/>
      <c r="I75" s="72"/>
      <c r="J75" s="72"/>
      <c r="K75" s="72"/>
      <c r="L75" s="72"/>
      <c r="M75" s="72"/>
      <c r="N75" s="72"/>
      <c r="O75" s="72"/>
      <c r="P75" s="2"/>
      <c r="Q75" s="2"/>
      <c r="R75" s="2"/>
      <c r="Y75" s="2"/>
      <c r="Z75" s="2"/>
      <c r="AA75" s="2"/>
    </row>
    <row r="76" spans="5:15" ht="12.75"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5:15" ht="12.75"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5:15" ht="12.75"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  <row r="79" spans="5:15" ht="12.75"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5:15" ht="12.75"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</row>
    <row r="83" spans="5:15" ht="12.75"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</row>
    <row r="84" spans="5:15" ht="12.75"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5:15" ht="12.75"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  <row r="86" spans="5:15" ht="12.75"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</row>
    <row r="87" spans="5:15" ht="12.75"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5:15" ht="12.75"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</row>
  </sheetData>
  <sheetProtection password="8090" sheet="1" objects="1" scenarios="1"/>
  <mergeCells count="2">
    <mergeCell ref="E7:N7"/>
    <mergeCell ref="E4:J4"/>
  </mergeCells>
  <printOptions horizontalCentered="1"/>
  <pageMargins left="0.2755905511811024" right="0.31496062992125984" top="0.4724409448818898" bottom="0.4724409448818898" header="0.2362204724409449" footer="0.2362204724409449"/>
  <pageSetup horizontalDpi="600" verticalDpi="600" orientation="portrait" paperSize="9" r:id="rId1"/>
  <headerFooter alignWithMargins="0">
    <oddFooter>&amp;C&amp;9foglio "Contributi D e S"&amp;R&amp;9pag.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00"/>
  <sheetViews>
    <sheetView zoomScale="120" zoomScaleNormal="120" workbookViewId="0" topLeftCell="A1">
      <selection activeCell="AO20" sqref="AO20"/>
    </sheetView>
  </sheetViews>
  <sheetFormatPr defaultColWidth="9.140625" defaultRowHeight="12.75"/>
  <cols>
    <col min="2" max="2" width="3.28125" style="374" customWidth="1"/>
    <col min="3" max="3" width="1.57421875" style="374" customWidth="1"/>
    <col min="4" max="4" width="2.421875" style="0" customWidth="1"/>
    <col min="14" max="14" width="18.28125" style="0" customWidth="1"/>
    <col min="15" max="15" width="1.28515625" style="0" customWidth="1"/>
    <col min="16" max="16" width="1.57421875" style="0" customWidth="1"/>
    <col min="17" max="17" width="0.85546875" style="0" customWidth="1"/>
    <col min="18" max="18" width="41.28125" style="0" hidden="1" customWidth="1"/>
    <col min="19" max="37" width="8.8515625" style="0" hidden="1" customWidth="1"/>
    <col min="38" max="38" width="1.28515625" style="0" customWidth="1"/>
  </cols>
  <sheetData>
    <row r="2" spans="4:14" ht="20.25" customHeight="1">
      <c r="D2" s="489" t="s">
        <v>499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</row>
    <row r="4" spans="3:4" ht="12.75">
      <c r="C4" s="62"/>
      <c r="D4" t="s">
        <v>494</v>
      </c>
    </row>
    <row r="5" spans="3:4" ht="12.75">
      <c r="C5" s="62" t="s">
        <v>2</v>
      </c>
      <c r="D5" t="s">
        <v>495</v>
      </c>
    </row>
    <row r="6" spans="3:4" ht="12.75">
      <c r="C6" s="62" t="s">
        <v>2</v>
      </c>
      <c r="D6" t="s">
        <v>496</v>
      </c>
    </row>
    <row r="7" spans="3:4" ht="12.75">
      <c r="C7" s="62" t="s">
        <v>2</v>
      </c>
      <c r="D7" t="s">
        <v>497</v>
      </c>
    </row>
    <row r="8" spans="3:4" ht="12.75">
      <c r="C8" s="62" t="s">
        <v>2</v>
      </c>
      <c r="D8" t="s">
        <v>498</v>
      </c>
    </row>
    <row r="9" spans="4:19" ht="12.75">
      <c r="D9" t="s">
        <v>548</v>
      </c>
      <c r="F9" s="379"/>
      <c r="G9" s="379"/>
      <c r="H9" s="379"/>
      <c r="I9" s="379"/>
      <c r="J9" s="379"/>
      <c r="K9" s="379"/>
      <c r="L9" s="379"/>
      <c r="M9" s="379"/>
      <c r="N9" s="379"/>
      <c r="S9" t="s">
        <v>451</v>
      </c>
    </row>
    <row r="10" spans="4:14" ht="12.75">
      <c r="D10" t="s">
        <v>549</v>
      </c>
      <c r="F10" s="379"/>
      <c r="G10" s="379"/>
      <c r="H10" s="379"/>
      <c r="I10" s="379"/>
      <c r="J10" s="379"/>
      <c r="K10" s="379"/>
      <c r="L10" s="379"/>
      <c r="M10" s="379"/>
      <c r="N10" s="379"/>
    </row>
    <row r="11" spans="5:14" ht="12" customHeight="1">
      <c r="E11" s="379"/>
      <c r="F11" s="379"/>
      <c r="G11" s="379"/>
      <c r="H11" s="379"/>
      <c r="I11" s="379"/>
      <c r="J11" s="379"/>
      <c r="K11" s="379"/>
      <c r="L11" s="379"/>
      <c r="M11" s="379"/>
      <c r="N11" s="379"/>
    </row>
    <row r="12" spans="4:14" ht="15">
      <c r="D12" s="359" t="s">
        <v>492</v>
      </c>
      <c r="E12" s="379"/>
      <c r="F12" s="379"/>
      <c r="G12" s="379"/>
      <c r="H12" s="379"/>
      <c r="I12" s="379"/>
      <c r="J12" s="379"/>
      <c r="K12" s="379"/>
      <c r="L12" s="379"/>
      <c r="M12" s="379"/>
      <c r="N12" s="379"/>
    </row>
    <row r="13" spans="2:38" ht="12.75">
      <c r="B13" s="419"/>
      <c r="C13" s="420"/>
      <c r="D13" s="391"/>
      <c r="E13" s="426"/>
      <c r="F13" s="426"/>
      <c r="G13" s="426"/>
      <c r="H13" s="426"/>
      <c r="I13" s="426"/>
      <c r="J13" s="426"/>
      <c r="K13" s="426"/>
      <c r="L13" s="426"/>
      <c r="M13" s="426"/>
      <c r="N13" s="428"/>
      <c r="P13" s="448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2:38" ht="12.75">
      <c r="B14" s="439" t="s">
        <v>67</v>
      </c>
      <c r="C14" s="440"/>
      <c r="D14" s="124" t="s">
        <v>532</v>
      </c>
      <c r="E14" s="124"/>
      <c r="F14" s="124"/>
      <c r="G14" s="124"/>
      <c r="H14" s="124"/>
      <c r="I14" s="124"/>
      <c r="J14" s="124"/>
      <c r="K14" s="124"/>
      <c r="L14" s="124"/>
      <c r="M14" s="124"/>
      <c r="N14" s="441"/>
      <c r="P14" s="448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2:38" ht="12.75">
      <c r="B15" s="439"/>
      <c r="C15" s="440"/>
      <c r="D15" s="178"/>
      <c r="E15" s="124" t="s">
        <v>491</v>
      </c>
      <c r="F15" s="124"/>
      <c r="G15" s="124"/>
      <c r="H15" s="124"/>
      <c r="I15" s="124"/>
      <c r="J15" s="124"/>
      <c r="K15" s="124"/>
      <c r="L15" s="124"/>
      <c r="M15" s="124"/>
      <c r="N15" s="441"/>
      <c r="P15" s="448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2:38" ht="12.75">
      <c r="B16" s="439"/>
      <c r="C16" s="440"/>
      <c r="D16" s="178"/>
      <c r="E16" s="122" t="s">
        <v>528</v>
      </c>
      <c r="F16" s="124"/>
      <c r="G16" s="124"/>
      <c r="H16" s="124"/>
      <c r="I16" s="124"/>
      <c r="J16" s="124"/>
      <c r="K16" s="124"/>
      <c r="L16" s="124"/>
      <c r="M16" s="124"/>
      <c r="N16" s="441"/>
      <c r="P16" s="448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1:38" ht="4.5" customHeight="1">
      <c r="A17" s="3"/>
      <c r="B17" s="439"/>
      <c r="C17" s="440"/>
      <c r="D17" s="178"/>
      <c r="E17" s="124"/>
      <c r="F17" s="124"/>
      <c r="G17" s="124"/>
      <c r="H17" s="124"/>
      <c r="I17" s="124"/>
      <c r="J17" s="124"/>
      <c r="K17" s="124"/>
      <c r="L17" s="124"/>
      <c r="M17" s="124"/>
      <c r="N17" s="441"/>
      <c r="P17" s="448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:38" ht="21" customHeight="1" hidden="1">
      <c r="A18" s="3"/>
      <c r="B18" s="440"/>
      <c r="C18" s="440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P18" s="448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2.75" customHeight="1" hidden="1">
      <c r="A19" s="3"/>
      <c r="B19" s="439"/>
      <c r="C19" s="440"/>
      <c r="D19" s="178"/>
      <c r="E19" s="124"/>
      <c r="F19" s="124"/>
      <c r="G19" s="124"/>
      <c r="H19" s="124"/>
      <c r="I19" s="124"/>
      <c r="J19" s="124"/>
      <c r="K19" s="124"/>
      <c r="L19" s="124"/>
      <c r="M19" s="124"/>
      <c r="N19" s="441"/>
      <c r="O19" s="3"/>
      <c r="P19" s="448"/>
      <c r="Q19" s="64"/>
      <c r="R19" s="64"/>
      <c r="S19" s="64" t="s">
        <v>452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</row>
    <row r="20" spans="1:38" ht="12.75">
      <c r="A20" s="3"/>
      <c r="B20" s="439" t="s">
        <v>68</v>
      </c>
      <c r="C20" s="440"/>
      <c r="D20" s="122" t="s">
        <v>533</v>
      </c>
      <c r="E20" s="124"/>
      <c r="F20" s="124"/>
      <c r="G20" s="124"/>
      <c r="H20" s="124"/>
      <c r="I20" s="124"/>
      <c r="J20" s="124"/>
      <c r="K20" s="124"/>
      <c r="L20" s="124"/>
      <c r="M20" s="124"/>
      <c r="N20" s="441"/>
      <c r="O20" s="3"/>
      <c r="P20" s="44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</row>
    <row r="21" spans="2:38" ht="12.75">
      <c r="B21" s="439"/>
      <c r="C21" s="440"/>
      <c r="D21" s="124"/>
      <c r="E21" s="124" t="s">
        <v>514</v>
      </c>
      <c r="F21" s="124"/>
      <c r="G21" s="124"/>
      <c r="H21" s="124"/>
      <c r="I21" s="124"/>
      <c r="J21" s="124"/>
      <c r="K21" s="124"/>
      <c r="L21" s="124"/>
      <c r="M21" s="124"/>
      <c r="N21" s="441"/>
      <c r="O21" s="3"/>
      <c r="P21" s="448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2:38" ht="12.75">
      <c r="B22" s="439"/>
      <c r="C22" s="440"/>
      <c r="D22" s="124"/>
      <c r="E22" s="124" t="s">
        <v>517</v>
      </c>
      <c r="F22" s="124"/>
      <c r="G22" s="124"/>
      <c r="H22" s="124"/>
      <c r="I22" s="124"/>
      <c r="J22" s="124"/>
      <c r="K22" s="124"/>
      <c r="L22" s="124"/>
      <c r="M22" s="124"/>
      <c r="N22" s="441"/>
      <c r="O22" s="3"/>
      <c r="P22" s="448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2:38" ht="12.75" customHeight="1" hidden="1">
      <c r="B23" s="439"/>
      <c r="C23" s="440"/>
      <c r="D23" s="178"/>
      <c r="E23" s="124"/>
      <c r="F23" s="124"/>
      <c r="G23" s="124"/>
      <c r="H23" s="124"/>
      <c r="I23" s="124"/>
      <c r="J23" s="124"/>
      <c r="K23" s="124"/>
      <c r="L23" s="124"/>
      <c r="M23" s="124"/>
      <c r="N23" s="441"/>
      <c r="O23" s="3"/>
      <c r="P23" s="448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</row>
    <row r="24" spans="2:38" ht="12.75" customHeight="1" hidden="1">
      <c r="B24" s="439"/>
      <c r="C24" s="440"/>
      <c r="D24" s="178"/>
      <c r="E24" s="124"/>
      <c r="F24" s="124"/>
      <c r="G24" s="124"/>
      <c r="H24" s="124"/>
      <c r="I24" s="124"/>
      <c r="J24" s="124"/>
      <c r="K24" s="124"/>
      <c r="L24" s="124"/>
      <c r="M24" s="124"/>
      <c r="N24" s="441"/>
      <c r="O24" s="3"/>
      <c r="P24" s="448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2:38" ht="12.75" customHeight="1" hidden="1">
      <c r="B25" s="439"/>
      <c r="C25" s="440"/>
      <c r="D25" s="124"/>
      <c r="E25" s="178"/>
      <c r="F25" s="124"/>
      <c r="G25" s="124"/>
      <c r="H25" s="124"/>
      <c r="I25" s="124"/>
      <c r="J25" s="124"/>
      <c r="K25" s="124"/>
      <c r="L25" s="124"/>
      <c r="M25" s="124"/>
      <c r="N25" s="441"/>
      <c r="O25" s="3"/>
      <c r="P25" s="448"/>
      <c r="Q25" s="64"/>
      <c r="R25" s="64"/>
      <c r="S25" s="64" t="s">
        <v>453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8" ht="4.5" customHeight="1">
      <c r="A26" s="3"/>
      <c r="B26" s="439"/>
      <c r="C26" s="440"/>
      <c r="D26" s="178"/>
      <c r="E26" s="124"/>
      <c r="F26" s="124"/>
      <c r="G26" s="124"/>
      <c r="H26" s="124"/>
      <c r="I26" s="124"/>
      <c r="J26" s="124"/>
      <c r="K26" s="124"/>
      <c r="L26" s="124"/>
      <c r="M26" s="124"/>
      <c r="N26" s="441"/>
      <c r="P26" s="448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2:38" ht="12.75">
      <c r="B27" s="439" t="s">
        <v>69</v>
      </c>
      <c r="C27" s="440"/>
      <c r="D27" s="124" t="s">
        <v>534</v>
      </c>
      <c r="E27" s="124"/>
      <c r="F27" s="124"/>
      <c r="G27" s="124"/>
      <c r="H27" s="124"/>
      <c r="I27" s="124"/>
      <c r="J27" s="124"/>
      <c r="K27" s="124"/>
      <c r="L27" s="124"/>
      <c r="M27" s="124"/>
      <c r="N27" s="441"/>
      <c r="O27" s="3"/>
      <c r="P27" s="448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2:38" ht="12.75">
      <c r="B28" s="439"/>
      <c r="C28" s="440"/>
      <c r="D28" s="124"/>
      <c r="E28" s="124" t="s">
        <v>535</v>
      </c>
      <c r="F28" s="124"/>
      <c r="G28" s="124"/>
      <c r="H28" s="124"/>
      <c r="I28" s="124"/>
      <c r="J28" s="124"/>
      <c r="K28" s="124"/>
      <c r="L28" s="124"/>
      <c r="M28" s="124"/>
      <c r="N28" s="441"/>
      <c r="O28" s="3"/>
      <c r="P28" s="448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ht="4.5" customHeight="1">
      <c r="A29" s="3"/>
      <c r="B29" s="439"/>
      <c r="C29" s="440"/>
      <c r="D29" s="178"/>
      <c r="E29" s="124"/>
      <c r="F29" s="124"/>
      <c r="G29" s="124"/>
      <c r="H29" s="124"/>
      <c r="I29" s="124"/>
      <c r="J29" s="124"/>
      <c r="K29" s="124"/>
      <c r="L29" s="124"/>
      <c r="M29" s="124"/>
      <c r="N29" s="441"/>
      <c r="P29" s="448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</row>
    <row r="30" spans="2:38" ht="12.75">
      <c r="B30" s="439" t="s">
        <v>297</v>
      </c>
      <c r="C30" s="440"/>
      <c r="D30" s="122" t="s">
        <v>536</v>
      </c>
      <c r="E30" s="124"/>
      <c r="F30" s="124"/>
      <c r="G30" s="124"/>
      <c r="H30" s="124"/>
      <c r="I30" s="124"/>
      <c r="J30" s="124"/>
      <c r="K30" s="124"/>
      <c r="L30" s="124"/>
      <c r="M30" s="124"/>
      <c r="N30" s="441"/>
      <c r="O30" s="3"/>
      <c r="P30" s="448"/>
      <c r="Q30" s="64"/>
      <c r="R30" s="64"/>
      <c r="S30" s="64" t="s">
        <v>454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2:38" ht="12.75">
      <c r="B31" s="439"/>
      <c r="C31" s="440"/>
      <c r="D31" s="124"/>
      <c r="E31" s="124" t="s">
        <v>515</v>
      </c>
      <c r="F31" s="124"/>
      <c r="G31" s="124"/>
      <c r="H31" s="124"/>
      <c r="I31" s="124"/>
      <c r="J31" s="124"/>
      <c r="K31" s="124"/>
      <c r="L31" s="124"/>
      <c r="M31" s="124"/>
      <c r="N31" s="441"/>
      <c r="O31" s="3"/>
      <c r="P31" s="448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ht="4.5" customHeight="1">
      <c r="A32" s="3"/>
      <c r="B32" s="439"/>
      <c r="C32" s="440"/>
      <c r="D32" s="178"/>
      <c r="E32" s="124"/>
      <c r="F32" s="124"/>
      <c r="G32" s="124"/>
      <c r="H32" s="124"/>
      <c r="I32" s="124"/>
      <c r="J32" s="124"/>
      <c r="K32" s="124"/>
      <c r="L32" s="124"/>
      <c r="M32" s="124"/>
      <c r="N32" s="441"/>
      <c r="P32" s="448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2:38" ht="12.75">
      <c r="B33" s="439" t="s">
        <v>298</v>
      </c>
      <c r="C33" s="440"/>
      <c r="D33" s="122" t="s">
        <v>537</v>
      </c>
      <c r="E33" s="124"/>
      <c r="F33" s="124"/>
      <c r="G33" s="124"/>
      <c r="H33" s="124"/>
      <c r="I33" s="124"/>
      <c r="J33" s="124"/>
      <c r="K33" s="124"/>
      <c r="L33" s="124"/>
      <c r="M33" s="124"/>
      <c r="N33" s="441"/>
      <c r="O33" s="3"/>
      <c r="P33" s="448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</row>
    <row r="34" spans="2:38" ht="12.75">
      <c r="B34" s="439"/>
      <c r="C34" s="440"/>
      <c r="D34" s="122"/>
      <c r="E34" s="124" t="s">
        <v>516</v>
      </c>
      <c r="F34" s="124"/>
      <c r="G34" s="124"/>
      <c r="H34" s="124"/>
      <c r="I34" s="124"/>
      <c r="J34" s="124"/>
      <c r="K34" s="124"/>
      <c r="L34" s="124"/>
      <c r="M34" s="124"/>
      <c r="N34" s="441"/>
      <c r="O34" s="3"/>
      <c r="P34" s="44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ht="4.5" customHeight="1">
      <c r="A35" s="3"/>
      <c r="B35" s="439"/>
      <c r="C35" s="440"/>
      <c r="D35" s="178"/>
      <c r="E35" s="124"/>
      <c r="F35" s="124"/>
      <c r="G35" s="124"/>
      <c r="H35" s="124"/>
      <c r="I35" s="124"/>
      <c r="J35" s="124"/>
      <c r="K35" s="124"/>
      <c r="L35" s="124"/>
      <c r="M35" s="124"/>
      <c r="N35" s="441"/>
      <c r="P35" s="44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</row>
    <row r="36" spans="2:38" ht="12.75">
      <c r="B36" s="439" t="s">
        <v>299</v>
      </c>
      <c r="C36" s="440"/>
      <c r="D36" s="122" t="s">
        <v>538</v>
      </c>
      <c r="E36" s="124"/>
      <c r="F36" s="124"/>
      <c r="G36" s="124"/>
      <c r="H36" s="124"/>
      <c r="I36" s="124"/>
      <c r="J36" s="124"/>
      <c r="K36" s="124"/>
      <c r="L36" s="124"/>
      <c r="M36" s="124"/>
      <c r="N36" s="441"/>
      <c r="O36" s="3"/>
      <c r="P36" s="448"/>
      <c r="Q36" s="64"/>
      <c r="R36" s="64"/>
      <c r="S36" s="64" t="s">
        <v>455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</row>
    <row r="37" spans="1:38" ht="4.5" customHeight="1">
      <c r="A37" s="3"/>
      <c r="B37" s="439"/>
      <c r="C37" s="440"/>
      <c r="D37" s="178"/>
      <c r="E37" s="124"/>
      <c r="F37" s="124"/>
      <c r="G37" s="124"/>
      <c r="H37" s="124"/>
      <c r="I37" s="124"/>
      <c r="J37" s="124"/>
      <c r="K37" s="124"/>
      <c r="L37" s="124"/>
      <c r="M37" s="124"/>
      <c r="N37" s="441"/>
      <c r="P37" s="44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</row>
    <row r="38" spans="2:38" ht="12.75">
      <c r="B38" s="439" t="s">
        <v>493</v>
      </c>
      <c r="C38" s="440"/>
      <c r="D38" s="122" t="s">
        <v>539</v>
      </c>
      <c r="E38" s="124"/>
      <c r="F38" s="124"/>
      <c r="G38" s="124"/>
      <c r="H38" s="124"/>
      <c r="I38" s="124"/>
      <c r="J38" s="124"/>
      <c r="K38" s="124"/>
      <c r="L38" s="124"/>
      <c r="M38" s="124"/>
      <c r="N38" s="441"/>
      <c r="O38" s="3"/>
      <c r="P38" s="44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</row>
    <row r="39" spans="2:38" ht="12.75" customHeight="1" hidden="1">
      <c r="B39" s="439"/>
      <c r="C39" s="440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441"/>
      <c r="O39" s="3"/>
      <c r="P39" s="448"/>
      <c r="Q39" s="64"/>
      <c r="R39" s="64"/>
      <c r="S39" s="64" t="s">
        <v>456</v>
      </c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2:38" ht="12.75" customHeight="1" hidden="1">
      <c r="B40" s="439"/>
      <c r="C40" s="440"/>
      <c r="D40" s="178"/>
      <c r="E40" s="178"/>
      <c r="F40" s="124"/>
      <c r="G40" s="124"/>
      <c r="H40" s="124"/>
      <c r="I40" s="124"/>
      <c r="J40" s="124"/>
      <c r="K40" s="124"/>
      <c r="L40" s="124"/>
      <c r="M40" s="124"/>
      <c r="N40" s="441"/>
      <c r="O40" s="3"/>
      <c r="P40" s="44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2:38" ht="12.75" customHeight="1" hidden="1">
      <c r="B41" s="439"/>
      <c r="C41" s="440"/>
      <c r="D41" s="178"/>
      <c r="E41" s="178"/>
      <c r="F41" s="124"/>
      <c r="G41" s="124"/>
      <c r="H41" s="124"/>
      <c r="I41" s="124"/>
      <c r="J41" s="124"/>
      <c r="K41" s="124"/>
      <c r="L41" s="124"/>
      <c r="M41" s="124"/>
      <c r="N41" s="441"/>
      <c r="O41" s="3"/>
      <c r="P41" s="44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2:38" ht="12.75" customHeight="1" hidden="1">
      <c r="B42" s="439"/>
      <c r="C42" s="440"/>
      <c r="D42" s="178"/>
      <c r="E42" s="178"/>
      <c r="F42" s="124"/>
      <c r="G42" s="124"/>
      <c r="H42" s="124"/>
      <c r="I42" s="124"/>
      <c r="J42" s="124"/>
      <c r="K42" s="124"/>
      <c r="L42" s="124"/>
      <c r="M42" s="124"/>
      <c r="N42" s="441"/>
      <c r="O42" s="3"/>
      <c r="P42" s="448"/>
      <c r="Q42" s="64"/>
      <c r="R42" s="64"/>
      <c r="S42" s="64" t="s">
        <v>457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2:38" ht="12.75" customHeight="1">
      <c r="B43" s="439"/>
      <c r="C43" s="440"/>
      <c r="D43" s="178"/>
      <c r="E43" s="178" t="s">
        <v>518</v>
      </c>
      <c r="F43" s="124"/>
      <c r="G43" s="124"/>
      <c r="H43" s="124"/>
      <c r="I43" s="124"/>
      <c r="J43" s="124"/>
      <c r="K43" s="124"/>
      <c r="L43" s="124"/>
      <c r="M43" s="124"/>
      <c r="N43" s="441"/>
      <c r="O43" s="3"/>
      <c r="P43" s="44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1:38" ht="4.5" customHeight="1">
      <c r="A44" s="3"/>
      <c r="B44" s="439"/>
      <c r="C44" s="440"/>
      <c r="D44" s="178"/>
      <c r="E44" s="124"/>
      <c r="F44" s="124"/>
      <c r="G44" s="124"/>
      <c r="H44" s="124"/>
      <c r="I44" s="124"/>
      <c r="J44" s="124"/>
      <c r="K44" s="124"/>
      <c r="L44" s="124"/>
      <c r="M44" s="124"/>
      <c r="N44" s="441"/>
      <c r="P44" s="44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2:38" ht="12.75">
      <c r="B45" s="439"/>
      <c r="C45" s="440"/>
      <c r="D45" s="122" t="s">
        <v>531</v>
      </c>
      <c r="E45" s="124"/>
      <c r="F45" s="124"/>
      <c r="G45" s="124"/>
      <c r="H45" s="124"/>
      <c r="I45" s="124"/>
      <c r="J45" s="124"/>
      <c r="K45" s="124"/>
      <c r="L45" s="124"/>
      <c r="M45" s="124"/>
      <c r="N45" s="441"/>
      <c r="O45" s="3"/>
      <c r="P45" s="44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2:38" ht="12.75">
      <c r="B46" s="439"/>
      <c r="C46" s="440"/>
      <c r="D46" s="124"/>
      <c r="E46" s="124" t="s">
        <v>519</v>
      </c>
      <c r="F46" s="124"/>
      <c r="G46" s="124"/>
      <c r="H46" s="124"/>
      <c r="I46" s="124"/>
      <c r="J46" s="124"/>
      <c r="K46" s="124"/>
      <c r="L46" s="124"/>
      <c r="M46" s="124"/>
      <c r="N46" s="441"/>
      <c r="O46" s="3"/>
      <c r="P46" s="44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2:38" ht="12.75">
      <c r="B47" s="423"/>
      <c r="C47" s="424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30"/>
      <c r="O47" s="3"/>
      <c r="P47" s="44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  <row r="48" spans="4:19" ht="12.75"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S48" t="s">
        <v>194</v>
      </c>
    </row>
    <row r="49" spans="4:14" ht="19.5" customHeight="1">
      <c r="D49" s="431" t="s">
        <v>490</v>
      </c>
      <c r="E49" s="379"/>
      <c r="F49" s="379"/>
      <c r="G49" s="379"/>
      <c r="H49" s="379"/>
      <c r="I49" s="379"/>
      <c r="J49" s="379"/>
      <c r="K49" s="379"/>
      <c r="L49" s="379"/>
      <c r="M49" s="379"/>
      <c r="N49" s="379"/>
    </row>
    <row r="50" spans="2:38" ht="12.75">
      <c r="B50" s="435"/>
      <c r="C50" s="436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8"/>
      <c r="O50" s="3"/>
      <c r="P50" s="449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</row>
    <row r="51" spans="2:38" ht="12.75">
      <c r="B51" s="439" t="s">
        <v>67</v>
      </c>
      <c r="C51" s="440"/>
      <c r="D51" s="122" t="s">
        <v>525</v>
      </c>
      <c r="E51" s="124"/>
      <c r="F51" s="124"/>
      <c r="G51" s="124"/>
      <c r="H51" s="124"/>
      <c r="I51" s="124"/>
      <c r="J51" s="124"/>
      <c r="K51" s="124"/>
      <c r="L51" s="124"/>
      <c r="M51" s="124"/>
      <c r="N51" s="441"/>
      <c r="O51" s="3"/>
      <c r="P51" s="449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</row>
    <row r="52" spans="2:38" ht="12.75">
      <c r="B52" s="439"/>
      <c r="C52" s="440"/>
      <c r="D52" s="124"/>
      <c r="E52" s="124" t="s">
        <v>520</v>
      </c>
      <c r="F52" s="124"/>
      <c r="G52" s="124"/>
      <c r="H52" s="124"/>
      <c r="I52" s="124"/>
      <c r="J52" s="124"/>
      <c r="K52" s="124"/>
      <c r="L52" s="124"/>
      <c r="M52" s="124"/>
      <c r="N52" s="441"/>
      <c r="O52" s="3"/>
      <c r="P52" s="449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</row>
    <row r="53" spans="2:38" ht="12.75">
      <c r="B53" s="439"/>
      <c r="C53" s="440"/>
      <c r="D53" s="124"/>
      <c r="E53" s="124" t="s">
        <v>521</v>
      </c>
      <c r="F53" s="124"/>
      <c r="G53" s="124"/>
      <c r="H53" s="124"/>
      <c r="I53" s="124"/>
      <c r="J53" s="124"/>
      <c r="K53" s="124"/>
      <c r="L53" s="124"/>
      <c r="M53" s="124"/>
      <c r="N53" s="441"/>
      <c r="O53" s="3"/>
      <c r="P53" s="449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</row>
    <row r="54" spans="2:38" ht="12.75">
      <c r="B54" s="439"/>
      <c r="C54" s="440"/>
      <c r="D54" s="124"/>
      <c r="E54" s="124" t="s">
        <v>526</v>
      </c>
      <c r="F54" s="124"/>
      <c r="G54" s="124"/>
      <c r="H54" s="124"/>
      <c r="I54" s="124"/>
      <c r="J54" s="124"/>
      <c r="K54" s="124"/>
      <c r="L54" s="124"/>
      <c r="M54" s="124"/>
      <c r="N54" s="441"/>
      <c r="O54" s="3"/>
      <c r="P54" s="449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</row>
    <row r="55" spans="2:38" ht="12.75">
      <c r="B55" s="439"/>
      <c r="C55" s="440"/>
      <c r="D55" s="124"/>
      <c r="E55" s="122" t="s">
        <v>527</v>
      </c>
      <c r="F55" s="124"/>
      <c r="G55" s="124"/>
      <c r="H55" s="124"/>
      <c r="I55" s="124"/>
      <c r="J55" s="124"/>
      <c r="K55" s="124"/>
      <c r="L55" s="124"/>
      <c r="M55" s="124"/>
      <c r="N55" s="441"/>
      <c r="O55" s="3"/>
      <c r="P55" s="449"/>
      <c r="Q55" s="64"/>
      <c r="R55" s="64"/>
      <c r="S55" s="64" t="s">
        <v>458</v>
      </c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</row>
    <row r="56" spans="2:38" ht="12.75">
      <c r="B56" s="439"/>
      <c r="C56" s="440"/>
      <c r="D56" s="124"/>
      <c r="E56" s="124" t="s">
        <v>491</v>
      </c>
      <c r="F56" s="124"/>
      <c r="G56" s="124"/>
      <c r="H56" s="124"/>
      <c r="I56" s="124"/>
      <c r="J56" s="124"/>
      <c r="K56" s="124"/>
      <c r="L56" s="124"/>
      <c r="M56" s="124"/>
      <c r="N56" s="441"/>
      <c r="O56" s="3"/>
      <c r="P56" s="449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</row>
    <row r="57" spans="2:38" ht="12.75">
      <c r="B57" s="439"/>
      <c r="C57" s="440"/>
      <c r="D57" s="124"/>
      <c r="E57" s="122" t="s">
        <v>528</v>
      </c>
      <c r="F57" s="124"/>
      <c r="G57" s="124"/>
      <c r="H57" s="124"/>
      <c r="I57" s="124"/>
      <c r="J57" s="124"/>
      <c r="K57" s="124"/>
      <c r="L57" s="124"/>
      <c r="M57" s="124"/>
      <c r="N57" s="441"/>
      <c r="O57" s="3"/>
      <c r="P57" s="449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</row>
    <row r="58" spans="2:38" ht="4.5" customHeight="1">
      <c r="B58" s="439"/>
      <c r="C58" s="440"/>
      <c r="D58" s="124"/>
      <c r="E58" s="442"/>
      <c r="F58" s="124"/>
      <c r="G58" s="124"/>
      <c r="H58" s="124"/>
      <c r="I58" s="124"/>
      <c r="J58" s="124"/>
      <c r="K58" s="124"/>
      <c r="L58" s="124"/>
      <c r="M58" s="124"/>
      <c r="N58" s="441"/>
      <c r="O58" s="3"/>
      <c r="P58" s="449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</row>
    <row r="59" spans="2:38" ht="12.75" customHeight="1" hidden="1">
      <c r="B59" s="439"/>
      <c r="C59" s="440"/>
      <c r="D59" s="124"/>
      <c r="E59" s="442"/>
      <c r="F59" s="124"/>
      <c r="G59" s="124"/>
      <c r="H59" s="124"/>
      <c r="I59" s="124"/>
      <c r="J59" s="124"/>
      <c r="K59" s="124"/>
      <c r="L59" s="124"/>
      <c r="M59" s="124"/>
      <c r="N59" s="441"/>
      <c r="O59" s="3"/>
      <c r="P59" s="449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</row>
    <row r="60" spans="2:38" ht="12.75" customHeight="1" hidden="1">
      <c r="B60" s="439"/>
      <c r="C60" s="440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441"/>
      <c r="O60" s="3"/>
      <c r="P60" s="449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</row>
    <row r="61" spans="2:38" ht="12.75" customHeight="1" hidden="1">
      <c r="B61" s="439"/>
      <c r="C61" s="440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441"/>
      <c r="O61" s="3"/>
      <c r="P61" s="449"/>
      <c r="Q61" s="64"/>
      <c r="R61" s="64"/>
      <c r="S61" s="64" t="s">
        <v>459</v>
      </c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</row>
    <row r="62" spans="2:38" ht="12.75">
      <c r="B62" s="439" t="s">
        <v>68</v>
      </c>
      <c r="C62" s="440"/>
      <c r="D62" s="122" t="s">
        <v>529</v>
      </c>
      <c r="E62" s="124"/>
      <c r="F62" s="124"/>
      <c r="G62" s="124"/>
      <c r="H62" s="124"/>
      <c r="I62" s="124"/>
      <c r="J62" s="124"/>
      <c r="K62" s="124"/>
      <c r="L62" s="124"/>
      <c r="M62" s="124"/>
      <c r="N62" s="441"/>
      <c r="O62" s="3"/>
      <c r="P62" s="449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</row>
    <row r="63" spans="2:38" ht="12.75">
      <c r="B63" s="439"/>
      <c r="C63" s="440"/>
      <c r="D63" s="124"/>
      <c r="E63" s="124" t="s">
        <v>522</v>
      </c>
      <c r="F63" s="124"/>
      <c r="G63" s="124"/>
      <c r="H63" s="124"/>
      <c r="I63" s="124"/>
      <c r="J63" s="124"/>
      <c r="K63" s="124"/>
      <c r="L63" s="124"/>
      <c r="M63" s="124"/>
      <c r="N63" s="441"/>
      <c r="O63" s="3"/>
      <c r="P63" s="449"/>
      <c r="Q63" s="64"/>
      <c r="R63" s="64"/>
      <c r="S63" s="64" t="s">
        <v>460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</row>
    <row r="64" spans="2:38" ht="4.5" customHeight="1">
      <c r="B64" s="439"/>
      <c r="C64" s="440"/>
      <c r="D64" s="124"/>
      <c r="E64" s="442"/>
      <c r="F64" s="124"/>
      <c r="G64" s="124"/>
      <c r="H64" s="124"/>
      <c r="I64" s="124"/>
      <c r="J64" s="124"/>
      <c r="K64" s="124"/>
      <c r="L64" s="124"/>
      <c r="M64" s="124"/>
      <c r="N64" s="441"/>
      <c r="O64" s="3"/>
      <c r="P64" s="449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</row>
    <row r="65" spans="2:38" ht="15" customHeight="1">
      <c r="B65" s="439" t="s">
        <v>69</v>
      </c>
      <c r="C65" s="440"/>
      <c r="D65" s="122" t="s">
        <v>530</v>
      </c>
      <c r="E65" s="124"/>
      <c r="F65" s="124"/>
      <c r="G65" s="124"/>
      <c r="H65" s="124"/>
      <c r="I65" s="124"/>
      <c r="J65" s="124"/>
      <c r="K65" s="124"/>
      <c r="L65" s="124"/>
      <c r="M65" s="124"/>
      <c r="N65" s="441"/>
      <c r="O65" s="3"/>
      <c r="P65" s="449"/>
      <c r="Q65" s="64"/>
      <c r="R65" s="64"/>
      <c r="S65" s="64" t="s">
        <v>461</v>
      </c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</row>
    <row r="66" spans="2:38" ht="14.25" customHeight="1">
      <c r="B66" s="439"/>
      <c r="C66" s="440"/>
      <c r="D66" s="124"/>
      <c r="E66" s="124" t="s">
        <v>523</v>
      </c>
      <c r="F66" s="124"/>
      <c r="G66" s="124"/>
      <c r="H66" s="124"/>
      <c r="I66" s="124"/>
      <c r="J66" s="124"/>
      <c r="K66" s="124"/>
      <c r="L66" s="124"/>
      <c r="M66" s="124"/>
      <c r="N66" s="441"/>
      <c r="O66" s="3"/>
      <c r="P66" s="449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</row>
    <row r="67" spans="2:38" ht="4.5" customHeight="1">
      <c r="B67" s="439"/>
      <c r="C67" s="440"/>
      <c r="D67" s="124"/>
      <c r="E67" s="442"/>
      <c r="F67" s="124"/>
      <c r="G67" s="124"/>
      <c r="H67" s="124"/>
      <c r="I67" s="124"/>
      <c r="J67" s="124"/>
      <c r="K67" s="124"/>
      <c r="L67" s="124"/>
      <c r="M67" s="124"/>
      <c r="N67" s="441"/>
      <c r="O67" s="3"/>
      <c r="P67" s="449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</row>
    <row r="68" spans="2:38" ht="12.75" customHeight="1">
      <c r="B68" s="439"/>
      <c r="C68" s="440"/>
      <c r="D68" s="122" t="s">
        <v>531</v>
      </c>
      <c r="E68" s="124"/>
      <c r="F68" s="124"/>
      <c r="G68" s="124"/>
      <c r="H68" s="124"/>
      <c r="I68" s="124"/>
      <c r="J68" s="124"/>
      <c r="K68" s="124"/>
      <c r="L68" s="124"/>
      <c r="M68" s="124"/>
      <c r="N68" s="441"/>
      <c r="O68" s="3"/>
      <c r="P68" s="449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</row>
    <row r="69" spans="2:38" ht="12.75" customHeight="1">
      <c r="B69" s="439"/>
      <c r="C69" s="440"/>
      <c r="D69" s="124"/>
      <c r="E69" s="124" t="s">
        <v>519</v>
      </c>
      <c r="F69" s="124"/>
      <c r="G69" s="124"/>
      <c r="H69" s="124"/>
      <c r="I69" s="124"/>
      <c r="J69" s="124"/>
      <c r="K69" s="124"/>
      <c r="L69" s="124"/>
      <c r="M69" s="124"/>
      <c r="N69" s="441"/>
      <c r="O69" s="3"/>
      <c r="P69" s="449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</row>
    <row r="70" spans="2:38" ht="12.75" customHeight="1" hidden="1">
      <c r="B70" s="421"/>
      <c r="C70" s="98"/>
      <c r="F70" s="79"/>
      <c r="G70" s="79"/>
      <c r="H70" s="79"/>
      <c r="I70" s="79"/>
      <c r="J70" s="79"/>
      <c r="K70" s="79"/>
      <c r="L70" s="79"/>
      <c r="M70" s="79"/>
      <c r="N70" s="429"/>
      <c r="O70" s="3"/>
      <c r="P70" s="449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</row>
    <row r="71" spans="2:38" ht="12.75">
      <c r="B71" s="423"/>
      <c r="C71" s="424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30"/>
      <c r="O71" s="3"/>
      <c r="P71" s="449"/>
      <c r="Q71" s="64"/>
      <c r="R71" s="64"/>
      <c r="S71" s="64" t="s">
        <v>462</v>
      </c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</row>
    <row r="72" spans="4:14" ht="12.75"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</row>
    <row r="73" spans="2:38" ht="12.75">
      <c r="B73" s="419"/>
      <c r="C73" s="420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8"/>
      <c r="P73" s="448"/>
      <c r="Q73" s="64"/>
      <c r="R73" s="64"/>
      <c r="S73" s="64" t="s">
        <v>463</v>
      </c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449"/>
    </row>
    <row r="74" spans="2:38" ht="12.75">
      <c r="B74" s="421" t="s">
        <v>67</v>
      </c>
      <c r="C74" s="98"/>
      <c r="D74" s="422" t="s">
        <v>524</v>
      </c>
      <c r="E74" s="79"/>
      <c r="F74" s="79"/>
      <c r="G74" s="79"/>
      <c r="H74" s="79"/>
      <c r="I74" s="79"/>
      <c r="J74" s="79"/>
      <c r="K74" s="79"/>
      <c r="L74" s="79"/>
      <c r="M74" s="79"/>
      <c r="N74" s="429"/>
      <c r="P74" s="448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449"/>
    </row>
    <row r="75" spans="2:38" ht="12.75">
      <c r="B75" s="423"/>
      <c r="C75" s="424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30"/>
      <c r="P75" s="448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449"/>
    </row>
    <row r="76" spans="4:14" ht="12.75"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4:14" ht="12.75">
      <c r="D77" s="290" t="s">
        <v>541</v>
      </c>
      <c r="E77" s="379"/>
      <c r="F77" s="379"/>
      <c r="G77" s="379"/>
      <c r="H77" s="379"/>
      <c r="I77" s="379"/>
      <c r="J77" s="379"/>
      <c r="K77" s="379"/>
      <c r="L77" s="379"/>
      <c r="M77" s="379"/>
      <c r="N77" s="379"/>
    </row>
    <row r="78" spans="1:39" ht="12.75">
      <c r="A78" s="442"/>
      <c r="B78" s="443"/>
      <c r="C78" s="443"/>
      <c r="D78" s="442" t="s">
        <v>543</v>
      </c>
      <c r="E78" s="442"/>
      <c r="F78" s="444"/>
      <c r="G78" s="444"/>
      <c r="H78" s="444"/>
      <c r="I78" s="444"/>
      <c r="J78" s="444"/>
      <c r="K78" s="444"/>
      <c r="L78" s="444"/>
      <c r="M78" s="444"/>
      <c r="N78" s="444"/>
      <c r="O78" s="442"/>
      <c r="P78" s="442"/>
      <c r="Q78" s="442"/>
      <c r="R78" s="442"/>
      <c r="S78" s="442"/>
      <c r="T78" s="442"/>
      <c r="U78" s="442"/>
      <c r="V78" s="442"/>
      <c r="W78" s="442"/>
      <c r="X78" s="442"/>
      <c r="Y78" s="442"/>
      <c r="Z78" s="442"/>
      <c r="AA78" s="442"/>
      <c r="AB78" s="442"/>
      <c r="AC78" s="442"/>
      <c r="AD78" s="442"/>
      <c r="AE78" s="442"/>
      <c r="AF78" s="442"/>
      <c r="AG78" s="442"/>
      <c r="AH78" s="442"/>
      <c r="AI78" s="442"/>
      <c r="AJ78" s="442"/>
      <c r="AK78" s="442"/>
      <c r="AL78" s="442"/>
      <c r="AM78" s="442"/>
    </row>
    <row r="79" spans="1:39" ht="12.75">
      <c r="A79" s="442"/>
      <c r="B79" s="443"/>
      <c r="C79" s="443"/>
      <c r="D79" s="444" t="s">
        <v>542</v>
      </c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2"/>
      <c r="AL79" s="442"/>
      <c r="AM79" s="442"/>
    </row>
    <row r="80" spans="1:39" ht="12.75">
      <c r="A80" s="442"/>
      <c r="B80" s="443"/>
      <c r="C80" s="443"/>
      <c r="D80" s="442" t="s">
        <v>544</v>
      </c>
      <c r="E80" s="444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2"/>
    </row>
    <row r="81" spans="1:39" ht="12.75">
      <c r="A81" s="442"/>
      <c r="B81" s="443"/>
      <c r="C81" s="443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2"/>
      <c r="AL81" s="442"/>
      <c r="AM81" s="442"/>
    </row>
    <row r="82" spans="1:39" ht="12.75">
      <c r="A82" s="442"/>
      <c r="B82" s="443"/>
      <c r="C82" s="443"/>
      <c r="D82" s="442" t="s">
        <v>477</v>
      </c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  <c r="AF82" s="442"/>
      <c r="AG82" s="442"/>
      <c r="AH82" s="442"/>
      <c r="AI82" s="442"/>
      <c r="AJ82" s="442"/>
      <c r="AK82" s="442"/>
      <c r="AL82" s="442"/>
      <c r="AM82" s="442"/>
    </row>
    <row r="83" spans="1:39" ht="12.75">
      <c r="A83" s="442"/>
      <c r="B83" s="443"/>
      <c r="C83" s="443"/>
      <c r="D83" s="442" t="s">
        <v>545</v>
      </c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2"/>
      <c r="AL83" s="442"/>
      <c r="AM83" s="442"/>
    </row>
    <row r="84" spans="1:39" ht="12.75">
      <c r="A84" s="442"/>
      <c r="B84" s="443"/>
      <c r="C84" s="443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2"/>
      <c r="AL84" s="442"/>
      <c r="AM84" s="442"/>
    </row>
    <row r="85" spans="1:39" ht="12.75">
      <c r="A85" s="442"/>
      <c r="B85" s="443"/>
      <c r="C85" s="443"/>
      <c r="D85" s="442" t="s">
        <v>540</v>
      </c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</row>
    <row r="86" spans="1:39" ht="12.75">
      <c r="A86" s="442"/>
      <c r="B86" s="443"/>
      <c r="C86" s="443"/>
      <c r="D86" s="442" t="s">
        <v>0</v>
      </c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H86" s="442"/>
      <c r="AI86" s="442"/>
      <c r="AJ86" s="442"/>
      <c r="AK86" s="442"/>
      <c r="AL86" s="442"/>
      <c r="AM86" s="442"/>
    </row>
    <row r="87" spans="1:39" ht="12.75">
      <c r="A87" s="442"/>
      <c r="B87" s="443"/>
      <c r="C87" s="443"/>
      <c r="D87" s="442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2"/>
      <c r="AL87" s="442"/>
      <c r="AM87" s="442"/>
    </row>
    <row r="94" spans="18:37" ht="12.75" customHeight="1"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490"/>
    </row>
    <row r="95" spans="18:37" ht="12.75" customHeight="1"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90"/>
    </row>
    <row r="98" spans="18:37" ht="12.75" customHeight="1">
      <c r="R98" s="490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490"/>
      <c r="AI98" s="490"/>
      <c r="AJ98" s="490"/>
      <c r="AK98" s="490"/>
    </row>
    <row r="100" spans="18:37" ht="12.75" customHeight="1">
      <c r="R100" s="491"/>
      <c r="S100" s="491"/>
      <c r="T100" s="491"/>
      <c r="U100" s="491"/>
      <c r="V100" s="491"/>
      <c r="W100" s="491"/>
      <c r="X100" s="491"/>
      <c r="Y100" s="491"/>
      <c r="Z100" s="491"/>
      <c r="AA100" s="491"/>
      <c r="AB100" s="491"/>
      <c r="AC100" s="491"/>
      <c r="AD100" s="491"/>
      <c r="AE100" s="491"/>
      <c r="AF100" s="491"/>
      <c r="AG100" s="491"/>
      <c r="AH100" s="491"/>
      <c r="AI100" s="491"/>
      <c r="AJ100" s="491"/>
      <c r="AK100" s="491"/>
    </row>
  </sheetData>
  <sheetProtection password="8090" sheet="1" objects="1" scenarios="1"/>
  <mergeCells count="5">
    <mergeCell ref="D2:N2"/>
    <mergeCell ref="R95:AK95"/>
    <mergeCell ref="R98:AK98"/>
    <mergeCell ref="R100:AK100"/>
    <mergeCell ref="R94:AK94"/>
  </mergeCells>
  <printOptions/>
  <pageMargins left="0.31496062992125984" right="0.1968503937007874" top="0.1968503937007874" bottom="0.1968503937007874" header="0.5118110236220472" footer="0.5118110236220472"/>
  <pageSetup fitToHeight="1" fitToWidth="1" horizontalDpi="600" verticalDpi="600" orientation="portrait" paperSize="9" scale="91" r:id="rId1"/>
  <headerFooter alignWithMargins="0">
    <oddFooter>&amp;Cfoglio "Istruzioni"&amp;Rpag.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O50"/>
  <sheetViews>
    <sheetView workbookViewId="0" topLeftCell="E1">
      <selection activeCell="AN12" sqref="AN12"/>
    </sheetView>
  </sheetViews>
  <sheetFormatPr defaultColWidth="9.140625" defaultRowHeight="12.75"/>
  <cols>
    <col min="1" max="1" width="0" style="0" hidden="1" customWidth="1"/>
    <col min="2" max="3" width="4.00390625" style="6" hidden="1" customWidth="1"/>
    <col min="4" max="4" width="14.8515625" style="0" hidden="1" customWidth="1"/>
    <col min="5" max="5" width="3.00390625" style="0" customWidth="1"/>
    <col min="6" max="6" width="2.7109375" style="62" customWidth="1"/>
    <col min="7" max="7" width="5.28125" style="61" customWidth="1"/>
    <col min="11" max="11" width="2.421875" style="0" customWidth="1"/>
    <col min="12" max="14" width="8.8515625" style="0" hidden="1" customWidth="1"/>
    <col min="15" max="15" width="2.421875" style="0" customWidth="1"/>
    <col min="16" max="16" width="3.00390625" style="0" customWidth="1"/>
    <col min="17" max="17" width="1.28515625" style="0" customWidth="1"/>
    <col min="18" max="18" width="27.7109375" style="0" customWidth="1"/>
    <col min="19" max="19" width="15.00390625" style="0" customWidth="1"/>
    <col min="20" max="20" width="8.57421875" style="0" customWidth="1"/>
    <col min="21" max="21" width="11.00390625" style="0" hidden="1" customWidth="1"/>
    <col min="22" max="22" width="18.421875" style="0" hidden="1" customWidth="1"/>
    <col min="23" max="23" width="6.00390625" style="6" hidden="1" customWidth="1"/>
    <col min="24" max="24" width="5.7109375" style="6" hidden="1" customWidth="1"/>
    <col min="25" max="25" width="8.7109375" style="6" hidden="1" customWidth="1"/>
    <col min="26" max="26" width="0" style="6" hidden="1" customWidth="1"/>
    <col min="27" max="27" width="3.140625" style="6" hidden="1" customWidth="1"/>
    <col min="28" max="28" width="0" style="0" hidden="1" customWidth="1"/>
    <col min="29" max="29" width="3.00390625" style="0" hidden="1" customWidth="1"/>
    <col min="30" max="30" width="3.140625" style="0" hidden="1" customWidth="1"/>
    <col min="31" max="34" width="0" style="0" hidden="1" customWidth="1"/>
    <col min="35" max="35" width="1.57421875" style="0" customWidth="1"/>
  </cols>
  <sheetData>
    <row r="2" ht="12.75">
      <c r="AI2" s="64"/>
    </row>
    <row r="3" spans="7:35" ht="20.25" customHeight="1">
      <c r="G3" s="492" t="s">
        <v>487</v>
      </c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AI3" s="448"/>
    </row>
    <row r="4" spans="7:35" ht="12.75">
      <c r="G4" s="269"/>
      <c r="AI4" s="448"/>
    </row>
    <row r="5" spans="7:35" ht="12.75">
      <c r="G5" s="269"/>
      <c r="R5" t="s">
        <v>415</v>
      </c>
      <c r="S5" s="446"/>
      <c r="U5" s="292" t="s">
        <v>385</v>
      </c>
      <c r="V5" s="110">
        <f>(S8+S9)/2*0.475</f>
        <v>0</v>
      </c>
      <c r="AI5" s="448"/>
    </row>
    <row r="6" spans="7:35" ht="15">
      <c r="G6" s="359"/>
      <c r="AI6" s="448"/>
    </row>
    <row r="7" spans="18:35" ht="13.5" thickBot="1">
      <c r="R7" s="493" t="s">
        <v>343</v>
      </c>
      <c r="S7" s="493"/>
      <c r="AI7" s="448"/>
    </row>
    <row r="8" spans="6:35" ht="13.5" thickBot="1">
      <c r="F8" s="82"/>
      <c r="G8" s="83"/>
      <c r="H8" s="81"/>
      <c r="I8" s="81"/>
      <c r="P8" s="294"/>
      <c r="R8" s="124" t="s">
        <v>207</v>
      </c>
      <c r="S8" s="411"/>
      <c r="V8">
        <f>IF(S8&gt;0,1,0)</f>
        <v>0</v>
      </c>
      <c r="AD8" s="3"/>
      <c r="AI8" s="448"/>
    </row>
    <row r="9" spans="6:35" ht="12.75">
      <c r="F9" s="82"/>
      <c r="G9" s="83"/>
      <c r="H9" s="81"/>
      <c r="I9" s="81"/>
      <c r="K9" s="3"/>
      <c r="R9" s="124" t="s">
        <v>208</v>
      </c>
      <c r="S9" s="411"/>
      <c r="V9">
        <f>IF(S9&gt;0,1,0)</f>
        <v>0</v>
      </c>
      <c r="AD9" s="3"/>
      <c r="AI9" s="448"/>
    </row>
    <row r="10" spans="2:35" ht="12.75">
      <c r="B10" s="501" t="s">
        <v>162</v>
      </c>
      <c r="C10" s="501" t="s">
        <v>163</v>
      </c>
      <c r="F10" s="358" t="str">
        <f>IF(B49=0,"Spuntare un uso di progetto","")</f>
        <v>Spuntare un uso di progetto</v>
      </c>
      <c r="G10" s="83"/>
      <c r="H10" s="81"/>
      <c r="I10" s="81"/>
      <c r="S10" s="263"/>
      <c r="V10" s="190"/>
      <c r="W10" s="191"/>
      <c r="X10" s="191"/>
      <c r="Y10" s="191"/>
      <c r="Z10" s="191"/>
      <c r="AA10" s="191"/>
      <c r="AB10" s="190"/>
      <c r="AC10" s="190"/>
      <c r="AD10" s="354"/>
      <c r="AI10" s="448"/>
    </row>
    <row r="11" spans="2:35" ht="18" customHeight="1">
      <c r="B11" s="501"/>
      <c r="C11" s="501"/>
      <c r="F11" s="117">
        <f>IF(B49&gt;1,"Spuntare un solo uso di progetto","")</f>
      </c>
      <c r="G11" s="83"/>
      <c r="H11" s="81"/>
      <c r="I11" s="81"/>
      <c r="R11" s="500" t="s">
        <v>478</v>
      </c>
      <c r="S11" s="500"/>
      <c r="V11" s="190"/>
      <c r="W11" s="191"/>
      <c r="X11" s="191"/>
      <c r="Y11" s="191" t="s">
        <v>388</v>
      </c>
      <c r="Z11" s="191"/>
      <c r="AA11" s="191"/>
      <c r="AB11" s="190"/>
      <c r="AC11" s="190"/>
      <c r="AD11" s="354"/>
      <c r="AE11" s="37"/>
      <c r="AF11" s="37"/>
      <c r="AG11" s="37"/>
      <c r="AI11" s="448"/>
    </row>
    <row r="12" spans="2:35" ht="12.75">
      <c r="B12" s="501"/>
      <c r="C12" s="501"/>
      <c r="F12" s="417" t="s">
        <v>479</v>
      </c>
      <c r="G12" s="83"/>
      <c r="H12" s="81"/>
      <c r="I12" s="81"/>
      <c r="R12" s="500"/>
      <c r="S12" s="500"/>
      <c r="V12" s="190" t="s">
        <v>386</v>
      </c>
      <c r="W12" s="192">
        <f>IF($V$5&lt;=1049.99,1,"")</f>
        <v>1</v>
      </c>
      <c r="X12" s="192"/>
      <c r="Y12" s="192">
        <f>SUM(W12:X12)</f>
        <v>1</v>
      </c>
      <c r="Z12" s="48">
        <f>IF(Y12=1,V5,0)</f>
        <v>0</v>
      </c>
      <c r="AA12" s="154"/>
      <c r="AB12" s="190">
        <f>IF(Y12=1,V5,0)</f>
        <v>0</v>
      </c>
      <c r="AC12" s="190"/>
      <c r="AD12" s="354"/>
      <c r="AE12" s="37"/>
      <c r="AF12" s="48">
        <f>IF(Y12=1,Z12,0)</f>
        <v>0</v>
      </c>
      <c r="AG12" s="37"/>
      <c r="AI12" s="448"/>
    </row>
    <row r="13" spans="2:35" ht="12.75">
      <c r="B13" s="501"/>
      <c r="C13" s="501"/>
      <c r="F13" s="504" t="s">
        <v>308</v>
      </c>
      <c r="G13" s="504"/>
      <c r="H13" s="504"/>
      <c r="I13" s="504"/>
      <c r="R13" s="500"/>
      <c r="S13" s="500"/>
      <c r="V13" s="190" t="s">
        <v>383</v>
      </c>
      <c r="W13" s="192">
        <f>IF($V$5&gt;=1050,1,0)</f>
        <v>0</v>
      </c>
      <c r="X13" s="192">
        <f>IF($V$5&lt;=1400,1,0)</f>
        <v>1</v>
      </c>
      <c r="Y13" s="192">
        <f>SUM(W13:X13)</f>
        <v>1</v>
      </c>
      <c r="Z13" s="48">
        <f>IF(Y13=2,V5,0)</f>
        <v>0</v>
      </c>
      <c r="AA13" s="154"/>
      <c r="AB13" s="190">
        <f>IF(Y13=2,V5*0.95,0)</f>
        <v>0</v>
      </c>
      <c r="AC13" s="190"/>
      <c r="AD13" s="354"/>
      <c r="AE13" s="37">
        <f>IF(AB13&lt;1050,1050,AB13)</f>
        <v>1050</v>
      </c>
      <c r="AF13" s="48">
        <f>IF(Y13=2,AE13,0)</f>
        <v>0</v>
      </c>
      <c r="AG13" s="37"/>
      <c r="AI13" s="448"/>
    </row>
    <row r="14" spans="2:35" ht="13.5" customHeight="1" thickBot="1">
      <c r="B14" s="54"/>
      <c r="C14" s="54"/>
      <c r="F14" s="1" t="s">
        <v>4</v>
      </c>
      <c r="R14" s="500"/>
      <c r="S14" s="500"/>
      <c r="V14" s="190" t="s">
        <v>384</v>
      </c>
      <c r="W14" s="192">
        <f>IF($V$5&gt;=1400.001,1,0)</f>
        <v>0</v>
      </c>
      <c r="X14" s="192">
        <f>IF($V$5&lt;=1750,1,"")</f>
        <v>1</v>
      </c>
      <c r="Y14" s="192">
        <f>SUM(W14:X14)</f>
        <v>1</v>
      </c>
      <c r="Z14" s="48">
        <f>IF(Y14=2,V5,0)</f>
        <v>0</v>
      </c>
      <c r="AA14" s="154"/>
      <c r="AB14" s="190">
        <f>IF(Y14=2,V5*0.93,0)</f>
        <v>0</v>
      </c>
      <c r="AC14" s="190"/>
      <c r="AD14" s="354"/>
      <c r="AE14" s="37">
        <f>IF(AB14&lt;1400,1400,AB14)</f>
        <v>1400</v>
      </c>
      <c r="AF14" s="48">
        <f>IF(Y14=2,AE14,0)</f>
        <v>0</v>
      </c>
      <c r="AG14" s="37"/>
      <c r="AI14" s="448"/>
    </row>
    <row r="15" spans="2:35" ht="13.5" customHeight="1" thickBot="1">
      <c r="B15" s="54">
        <f>IF(F15&gt;0,1,"")</f>
      </c>
      <c r="C15" s="54"/>
      <c r="F15" s="295"/>
      <c r="G15" s="61" t="s">
        <v>23</v>
      </c>
      <c r="O15" s="11"/>
      <c r="Q15" s="3"/>
      <c r="R15" s="254"/>
      <c r="S15" s="254"/>
      <c r="T15" s="3"/>
      <c r="V15" s="190" t="s">
        <v>382</v>
      </c>
      <c r="W15" s="192">
        <f>IF($V$5&gt;=1750.99,1,0)</f>
        <v>0</v>
      </c>
      <c r="X15" s="192">
        <f>IF($V$5&lt;=2100,1,0)</f>
        <v>1</v>
      </c>
      <c r="Y15" s="192">
        <f>SUM(W15:X15)</f>
        <v>1</v>
      </c>
      <c r="Z15" s="48">
        <f>IF(Y15=2,V5,0)</f>
        <v>0</v>
      </c>
      <c r="AA15" s="154"/>
      <c r="AB15" s="190">
        <f>IF(Y15=2,V5*0.9,0)</f>
        <v>0</v>
      </c>
      <c r="AC15" s="190"/>
      <c r="AD15" s="354"/>
      <c r="AE15" s="37">
        <f>IF(AB15&lt;1750,1750,AB15)</f>
        <v>1750</v>
      </c>
      <c r="AF15" s="48">
        <f>IF(Y15=2,AE15,0)</f>
        <v>0</v>
      </c>
      <c r="AG15" s="37"/>
      <c r="AI15" s="448"/>
    </row>
    <row r="16" spans="2:35" ht="13.5" thickBot="1">
      <c r="B16" s="54">
        <f aca="true" t="shared" si="0" ref="B16:B48">IF(F16&gt;0,1,"")</f>
      </c>
      <c r="C16" s="54"/>
      <c r="F16" s="295"/>
      <c r="G16" s="61" t="s">
        <v>24</v>
      </c>
      <c r="Q16" s="3"/>
      <c r="R16" s="254"/>
      <c r="S16" s="254"/>
      <c r="T16" s="3"/>
      <c r="V16" s="190" t="s">
        <v>387</v>
      </c>
      <c r="W16" s="192">
        <f>IF($V$5&gt;=2100.001,1,"")</f>
      </c>
      <c r="X16" s="192"/>
      <c r="Y16" s="192">
        <f>SUM(W16:X16)</f>
        <v>0</v>
      </c>
      <c r="Z16" s="48">
        <f>IF(Y16=1,V5,0)</f>
        <v>0</v>
      </c>
      <c r="AA16" s="154"/>
      <c r="AB16" s="190">
        <f>IF(Y16=1,V5*0.9,0)</f>
        <v>0</v>
      </c>
      <c r="AC16" s="190"/>
      <c r="AD16" s="354"/>
      <c r="AE16" s="37">
        <f>IF(AB16&lt;1750,1750,AB16)</f>
        <v>1750</v>
      </c>
      <c r="AF16" s="48">
        <f>IF(Y16=1,AE16,0)</f>
        <v>0</v>
      </c>
      <c r="AG16" s="37"/>
      <c r="AI16" s="448"/>
    </row>
    <row r="17" spans="2:35" ht="12.75">
      <c r="B17" s="54"/>
      <c r="C17" s="54"/>
      <c r="Q17" s="3"/>
      <c r="R17" s="254"/>
      <c r="S17" s="254"/>
      <c r="T17" s="3"/>
      <c r="V17" s="190"/>
      <c r="W17" s="191"/>
      <c r="X17" s="191"/>
      <c r="Y17" s="191"/>
      <c r="Z17" s="191"/>
      <c r="AA17" s="191"/>
      <c r="AD17" s="3"/>
      <c r="AE17" s="37"/>
      <c r="AF17" s="48"/>
      <c r="AG17" s="37"/>
      <c r="AI17" s="448"/>
    </row>
    <row r="18" spans="2:35" ht="13.5" thickBot="1">
      <c r="B18" s="54"/>
      <c r="C18" s="54"/>
      <c r="F18" s="1" t="s">
        <v>5</v>
      </c>
      <c r="Q18" s="3"/>
      <c r="R18" s="254"/>
      <c r="S18" s="254"/>
      <c r="T18" s="3"/>
      <c r="U18" s="64"/>
      <c r="V18" s="190"/>
      <c r="W18" s="191"/>
      <c r="X18" s="191"/>
      <c r="Y18" s="191"/>
      <c r="Z18" s="191"/>
      <c r="AA18" s="191"/>
      <c r="AD18" s="3"/>
      <c r="AE18" s="37"/>
      <c r="AF18" s="48"/>
      <c r="AG18" s="37"/>
      <c r="AI18" s="448"/>
    </row>
    <row r="19" spans="2:35" ht="13.5" thickBot="1">
      <c r="B19" s="54">
        <f t="shared" si="0"/>
      </c>
      <c r="C19" s="54"/>
      <c r="F19" s="294"/>
      <c r="G19" s="61" t="s">
        <v>25</v>
      </c>
      <c r="V19" s="190"/>
      <c r="W19" s="191"/>
      <c r="X19" s="191"/>
      <c r="Y19" s="191"/>
      <c r="Z19" s="293">
        <f>SUM(Z12:Z16)</f>
        <v>0</v>
      </c>
      <c r="AA19" s="191"/>
      <c r="AB19" s="192">
        <f>SUM(AB12:AB16)</f>
        <v>0</v>
      </c>
      <c r="AC19" s="154"/>
      <c r="AD19" s="154"/>
      <c r="AE19" s="37"/>
      <c r="AF19" s="110">
        <f>SUM(AF12:AF16)</f>
        <v>0</v>
      </c>
      <c r="AG19" s="37"/>
      <c r="AI19" s="448"/>
    </row>
    <row r="20" spans="2:35" ht="13.5" thickBot="1">
      <c r="B20" s="54">
        <f t="shared" si="0"/>
      </c>
      <c r="C20" s="54"/>
      <c r="F20" s="294"/>
      <c r="G20" s="61" t="s">
        <v>26</v>
      </c>
      <c r="P20" s="82"/>
      <c r="Q20" s="81"/>
      <c r="S20" s="81"/>
      <c r="T20" s="81"/>
      <c r="Z20" s="48" t="s">
        <v>388</v>
      </c>
      <c r="AB20" s="37" t="s">
        <v>388</v>
      </c>
      <c r="AC20" s="37"/>
      <c r="AD20" s="50"/>
      <c r="AE20" s="37"/>
      <c r="AF20" s="37" t="s">
        <v>16</v>
      </c>
      <c r="AG20" s="37"/>
      <c r="AI20" s="448"/>
    </row>
    <row r="21" spans="2:35" ht="12.75">
      <c r="B21" s="54"/>
      <c r="C21" s="54"/>
      <c r="P21" s="82"/>
      <c r="Q21" s="81"/>
      <c r="R21" s="1" t="s">
        <v>488</v>
      </c>
      <c r="S21" s="141">
        <f>Z19</f>
        <v>0</v>
      </c>
      <c r="T21" s="81"/>
      <c r="AB21" s="154"/>
      <c r="AC21" s="154"/>
      <c r="AD21" s="154"/>
      <c r="AE21" s="37"/>
      <c r="AF21" s="37"/>
      <c r="AG21" s="37"/>
      <c r="AI21" s="448"/>
    </row>
    <row r="22" spans="2:65" ht="13.5" thickBot="1">
      <c r="B22" s="54"/>
      <c r="C22" s="54"/>
      <c r="F22" s="1" t="s">
        <v>6</v>
      </c>
      <c r="P22" s="82"/>
      <c r="Q22" s="81"/>
      <c r="R22" s="81"/>
      <c r="S22" s="81"/>
      <c r="T22" s="81"/>
      <c r="AI22" s="448"/>
      <c r="AP22" s="491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</row>
    <row r="23" spans="2:35" ht="13.5" thickBot="1">
      <c r="B23" s="54">
        <f t="shared" si="0"/>
      </c>
      <c r="C23" s="54"/>
      <c r="F23" s="294"/>
      <c r="G23" s="61" t="s">
        <v>27</v>
      </c>
      <c r="P23" s="82"/>
      <c r="Q23" s="81"/>
      <c r="R23" s="81"/>
      <c r="S23" s="81"/>
      <c r="T23" s="81"/>
      <c r="AI23" s="448"/>
    </row>
    <row r="24" spans="2:35" ht="13.5" thickBot="1">
      <c r="B24" s="54">
        <f t="shared" si="0"/>
      </c>
      <c r="C24" s="54"/>
      <c r="F24" s="294"/>
      <c r="G24" s="61" t="s">
        <v>28</v>
      </c>
      <c r="P24" s="82"/>
      <c r="Q24" s="81"/>
      <c r="R24" s="502" t="s">
        <v>489</v>
      </c>
      <c r="S24" s="81"/>
      <c r="T24" s="81"/>
      <c r="AI24" s="448"/>
    </row>
    <row r="25" spans="2:35" ht="13.5" thickBot="1">
      <c r="B25" s="54">
        <f t="shared" si="0"/>
      </c>
      <c r="C25" s="54"/>
      <c r="F25" s="294"/>
      <c r="G25" s="61" t="s">
        <v>29</v>
      </c>
      <c r="P25" s="82"/>
      <c r="Q25" s="81"/>
      <c r="R25" s="503"/>
      <c r="S25" s="141">
        <f>AF19</f>
        <v>0</v>
      </c>
      <c r="T25" s="81"/>
      <c r="AI25" s="448"/>
    </row>
    <row r="26" spans="2:67" ht="13.5" thickBot="1">
      <c r="B26" s="54">
        <f t="shared" si="0"/>
      </c>
      <c r="C26" s="54"/>
      <c r="F26" s="294"/>
      <c r="G26" s="61" t="s">
        <v>30</v>
      </c>
      <c r="P26" s="82"/>
      <c r="Q26" s="81"/>
      <c r="R26" s="503"/>
      <c r="S26" s="81"/>
      <c r="T26" s="81"/>
      <c r="AI26" s="448"/>
      <c r="AR26" s="491"/>
      <c r="AS26" s="499"/>
      <c r="AT26" s="499"/>
      <c r="AU26" s="499"/>
      <c r="AV26" s="499"/>
      <c r="AW26" s="499"/>
      <c r="AX26" s="499"/>
      <c r="AY26" s="499"/>
      <c r="AZ26" s="499"/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/>
    </row>
    <row r="27" spans="2:35" ht="12.75">
      <c r="B27" s="54"/>
      <c r="C27" s="54"/>
      <c r="F27" s="82"/>
      <c r="P27" s="82"/>
      <c r="Q27" s="81"/>
      <c r="R27" s="81"/>
      <c r="S27" s="81"/>
      <c r="T27" s="81"/>
      <c r="AI27" s="448"/>
    </row>
    <row r="28" spans="2:35" ht="13.5" thickBot="1">
      <c r="B28" s="54"/>
      <c r="C28" s="54"/>
      <c r="F28" s="1" t="s">
        <v>15</v>
      </c>
      <c r="P28" s="81"/>
      <c r="Q28" s="81"/>
      <c r="R28" s="151"/>
      <c r="S28" s="151"/>
      <c r="T28" s="81"/>
      <c r="AI28" s="448"/>
    </row>
    <row r="29" spans="2:35" ht="13.5" thickBot="1">
      <c r="B29" s="54">
        <f t="shared" si="0"/>
      </c>
      <c r="C29" s="54"/>
      <c r="F29" s="294"/>
      <c r="G29" s="61" t="s">
        <v>31</v>
      </c>
      <c r="P29" s="498" t="s">
        <v>416</v>
      </c>
      <c r="Q29" s="498"/>
      <c r="R29" s="498"/>
      <c r="S29" s="498"/>
      <c r="T29" s="81"/>
      <c r="AI29" s="448"/>
    </row>
    <row r="30" spans="2:35" ht="14.25" customHeight="1" thickBot="1">
      <c r="B30" s="54">
        <f t="shared" si="0"/>
      </c>
      <c r="C30" s="54"/>
      <c r="F30" s="294"/>
      <c r="G30" s="61" t="s">
        <v>32</v>
      </c>
      <c r="K30" s="2"/>
      <c r="L30" s="2"/>
      <c r="M30" s="2"/>
      <c r="N30" s="2"/>
      <c r="P30" s="496" t="s">
        <v>414</v>
      </c>
      <c r="Q30" s="497"/>
      <c r="R30" s="497"/>
      <c r="S30" s="497"/>
      <c r="AI30" s="448"/>
    </row>
    <row r="31" spans="2:35" ht="13.5" thickBot="1">
      <c r="B31" s="54">
        <f t="shared" si="0"/>
      </c>
      <c r="C31" s="54"/>
      <c r="F31" s="294"/>
      <c r="G31" s="61" t="s">
        <v>33</v>
      </c>
      <c r="AI31" s="448"/>
    </row>
    <row r="32" spans="2:35" ht="13.5" thickBot="1">
      <c r="B32" s="54">
        <f t="shared" si="0"/>
      </c>
      <c r="C32" s="54"/>
      <c r="F32" s="294"/>
      <c r="G32" s="61" t="s">
        <v>34</v>
      </c>
      <c r="AI32" s="448"/>
    </row>
    <row r="33" spans="2:35" ht="13.5" thickBot="1">
      <c r="B33" s="54">
        <f t="shared" si="0"/>
      </c>
      <c r="C33" s="54"/>
      <c r="F33" s="294"/>
      <c r="G33" s="61" t="s">
        <v>35</v>
      </c>
      <c r="AI33" s="448"/>
    </row>
    <row r="34" spans="2:35" ht="13.5" thickBot="1">
      <c r="B34" s="54">
        <f t="shared" si="0"/>
      </c>
      <c r="C34" s="54"/>
      <c r="F34" s="294"/>
      <c r="G34" s="61" t="s">
        <v>39</v>
      </c>
      <c r="AI34" s="448"/>
    </row>
    <row r="35" spans="2:35" ht="13.5" thickBot="1">
      <c r="B35" s="54">
        <f t="shared" si="0"/>
      </c>
      <c r="C35" s="54"/>
      <c r="F35" s="294"/>
      <c r="G35" s="61" t="s">
        <v>40</v>
      </c>
      <c r="AI35" s="448"/>
    </row>
    <row r="36" spans="2:35" ht="12.75">
      <c r="B36" s="54"/>
      <c r="C36" s="54"/>
      <c r="AI36" s="448"/>
    </row>
    <row r="37" spans="2:35" ht="13.5" thickBot="1">
      <c r="B37" s="54"/>
      <c r="C37" s="54"/>
      <c r="F37" s="1" t="s">
        <v>17</v>
      </c>
      <c r="AI37" s="448"/>
    </row>
    <row r="38" spans="2:35" ht="13.5" thickBot="1">
      <c r="B38" s="54">
        <f t="shared" si="0"/>
      </c>
      <c r="C38" s="54"/>
      <c r="F38" s="294"/>
      <c r="G38" s="61" t="s">
        <v>41</v>
      </c>
      <c r="AI38" s="448"/>
    </row>
    <row r="39" spans="2:35" ht="13.5" thickBot="1">
      <c r="B39" s="54">
        <f t="shared" si="0"/>
      </c>
      <c r="C39" s="54"/>
      <c r="F39" s="294"/>
      <c r="G39" s="61" t="s">
        <v>42</v>
      </c>
      <c r="AI39" s="448"/>
    </row>
    <row r="40" spans="2:35" ht="13.5" thickBot="1">
      <c r="B40" s="54">
        <f t="shared" si="0"/>
      </c>
      <c r="C40" s="54"/>
      <c r="F40" s="294"/>
      <c r="G40" s="61" t="s">
        <v>43</v>
      </c>
      <c r="AI40" s="448"/>
    </row>
    <row r="41" spans="2:35" ht="13.5" thickBot="1">
      <c r="B41" s="54">
        <f t="shared" si="0"/>
      </c>
      <c r="C41" s="54"/>
      <c r="F41" s="294"/>
      <c r="G41" s="61" t="s">
        <v>44</v>
      </c>
      <c r="AI41" s="448"/>
    </row>
    <row r="42" spans="2:35" ht="13.5" thickBot="1">
      <c r="B42" s="54">
        <f t="shared" si="0"/>
      </c>
      <c r="C42" s="54"/>
      <c r="F42" s="294"/>
      <c r="G42" s="61" t="s">
        <v>45</v>
      </c>
      <c r="AI42" s="448"/>
    </row>
    <row r="43" spans="2:35" ht="13.5" thickBot="1">
      <c r="B43" s="54">
        <f t="shared" si="0"/>
      </c>
      <c r="C43" s="54"/>
      <c r="F43" s="294"/>
      <c r="G43" s="61" t="s">
        <v>47</v>
      </c>
      <c r="AI43" s="448"/>
    </row>
    <row r="44" spans="2:44" ht="13.5" thickBot="1">
      <c r="B44" s="54">
        <f t="shared" si="0"/>
      </c>
      <c r="C44" s="54"/>
      <c r="F44" s="294"/>
      <c r="G44" s="61" t="s">
        <v>50</v>
      </c>
      <c r="AI44" s="448"/>
      <c r="AM44" s="494"/>
      <c r="AN44" s="495"/>
      <c r="AO44" s="495"/>
      <c r="AP44" s="495"/>
      <c r="AQ44" s="495"/>
      <c r="AR44" s="495"/>
    </row>
    <row r="45" spans="2:35" ht="13.5" thickBot="1">
      <c r="B45" s="54">
        <f t="shared" si="0"/>
      </c>
      <c r="C45" s="54"/>
      <c r="F45" s="294"/>
      <c r="G45" s="61" t="s">
        <v>58</v>
      </c>
      <c r="AI45" s="448"/>
    </row>
    <row r="46" spans="2:35" ht="12.75">
      <c r="B46" s="54"/>
      <c r="C46" s="54"/>
      <c r="AI46" s="448"/>
    </row>
    <row r="47" spans="2:35" ht="13.5" thickBot="1">
      <c r="B47" s="54"/>
      <c r="C47" s="54"/>
      <c r="F47" s="1" t="s">
        <v>20</v>
      </c>
      <c r="AI47" s="448"/>
    </row>
    <row r="48" spans="2:35" ht="13.5" thickBot="1">
      <c r="B48" s="54">
        <f t="shared" si="0"/>
      </c>
      <c r="C48" s="54"/>
      <c r="F48" s="294"/>
      <c r="G48" s="61" t="s">
        <v>60</v>
      </c>
      <c r="AI48" s="448"/>
    </row>
    <row r="49" spans="2:35" ht="12.75">
      <c r="B49" s="54">
        <f>SUM(B15:B48)</f>
        <v>0</v>
      </c>
      <c r="C49" s="54"/>
      <c r="AI49" s="448"/>
    </row>
    <row r="50" spans="2:35" ht="12.75">
      <c r="B50" s="54"/>
      <c r="C50" s="54"/>
      <c r="AI50" s="448"/>
    </row>
  </sheetData>
  <sheetProtection password="8090" sheet="1" objects="1" scenarios="1"/>
  <mergeCells count="12">
    <mergeCell ref="B10:B13"/>
    <mergeCell ref="C10:C13"/>
    <mergeCell ref="R24:R26"/>
    <mergeCell ref="F13:I13"/>
    <mergeCell ref="G3:S3"/>
    <mergeCell ref="R7:S7"/>
    <mergeCell ref="AM44:AR44"/>
    <mergeCell ref="P30:S30"/>
    <mergeCell ref="P29:S29"/>
    <mergeCell ref="AP22:BM22"/>
    <mergeCell ref="AR26:BO26"/>
    <mergeCell ref="R11:S14"/>
  </mergeCells>
  <printOptions horizontalCentered="1"/>
  <pageMargins left="0.1968503937007874" right="0.2362204724409449" top="0.708661417322834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&amp;C&amp;8foglio "Valore OMI_Usi"&amp;R&amp;9pag.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N65"/>
  <sheetViews>
    <sheetView workbookViewId="0" topLeftCell="B1">
      <selection activeCell="AS12" sqref="AS12"/>
    </sheetView>
  </sheetViews>
  <sheetFormatPr defaultColWidth="9.140625" defaultRowHeight="12.75"/>
  <cols>
    <col min="1" max="1" width="0" style="0" hidden="1" customWidth="1"/>
    <col min="3" max="3" width="2.7109375" style="0" customWidth="1"/>
    <col min="11" max="11" width="10.7109375" style="0" customWidth="1"/>
    <col min="12" max="12" width="11.140625" style="0" customWidth="1"/>
    <col min="13" max="13" width="12.00390625" style="0" customWidth="1"/>
    <col min="14" max="14" width="11.28125" style="0" customWidth="1"/>
    <col min="15" max="15" width="2.7109375" style="0" customWidth="1"/>
    <col min="16" max="17" width="9.57421875" style="0" hidden="1" customWidth="1"/>
    <col min="18" max="20" width="0" style="0" hidden="1" customWidth="1"/>
    <col min="21" max="24" width="0" style="6" hidden="1" customWidth="1"/>
    <col min="25" max="36" width="0" style="0" hidden="1" customWidth="1"/>
    <col min="37" max="37" width="0.9921875" style="0" customWidth="1"/>
    <col min="38" max="38" width="1.57421875" style="0" customWidth="1"/>
    <col min="39" max="39" width="0.85546875" style="0" customWidth="1"/>
    <col min="40" max="40" width="1.57421875" style="0" customWidth="1"/>
    <col min="90" max="90" width="2.140625" style="0" customWidth="1"/>
  </cols>
  <sheetData>
    <row r="2" spans="4:40" ht="21.75" customHeight="1">
      <c r="D2" s="505" t="s">
        <v>500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AL2" s="448"/>
      <c r="AN2" s="449"/>
    </row>
    <row r="3" spans="3:40" ht="12.75">
      <c r="C3" s="389"/>
      <c r="D3" s="391"/>
      <c r="E3" s="391"/>
      <c r="F3" s="391"/>
      <c r="G3" s="391"/>
      <c r="H3" s="391"/>
      <c r="I3" s="391"/>
      <c r="J3" s="391"/>
      <c r="K3" s="391"/>
      <c r="L3" s="402"/>
      <c r="M3" s="403"/>
      <c r="N3" s="391"/>
      <c r="O3" s="392"/>
      <c r="AL3" s="448"/>
      <c r="AN3" s="449"/>
    </row>
    <row r="4" spans="3:40" ht="12.75">
      <c r="C4" s="393"/>
      <c r="D4" s="5" t="s">
        <v>368</v>
      </c>
      <c r="E4" s="3"/>
      <c r="F4" s="3"/>
      <c r="G4" s="3"/>
      <c r="H4" s="3"/>
      <c r="I4" s="3" t="s">
        <v>469</v>
      </c>
      <c r="J4" s="3"/>
      <c r="K4" s="3"/>
      <c r="L4" s="416"/>
      <c r="M4" s="81"/>
      <c r="N4" s="3"/>
      <c r="O4" s="394"/>
      <c r="AL4" s="448"/>
      <c r="AN4" s="449"/>
    </row>
    <row r="5" spans="3:40" ht="12.75">
      <c r="C5" s="393"/>
      <c r="D5" s="3"/>
      <c r="E5" s="3"/>
      <c r="F5" s="3"/>
      <c r="G5" s="3"/>
      <c r="H5" s="3"/>
      <c r="I5" s="3" t="s">
        <v>470</v>
      </c>
      <c r="J5" s="3"/>
      <c r="K5" s="3"/>
      <c r="L5" s="416"/>
      <c r="M5" s="81"/>
      <c r="N5" s="3"/>
      <c r="O5" s="394"/>
      <c r="AL5" s="448"/>
      <c r="AN5" s="449"/>
    </row>
    <row r="6" spans="3:40" ht="12.75">
      <c r="C6" s="39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94"/>
      <c r="AL6" s="448"/>
      <c r="AN6" s="449"/>
    </row>
    <row r="7" spans="3:40" ht="12.75">
      <c r="C7" s="393"/>
      <c r="D7" s="5" t="s">
        <v>369</v>
      </c>
      <c r="E7" s="3"/>
      <c r="F7" s="3"/>
      <c r="G7" s="3"/>
      <c r="H7" s="3"/>
      <c r="I7" s="3"/>
      <c r="J7" s="3"/>
      <c r="K7" s="3"/>
      <c r="L7" s="3"/>
      <c r="M7" s="3"/>
      <c r="N7" s="3"/>
      <c r="O7" s="394"/>
      <c r="T7" s="37"/>
      <c r="U7" s="48"/>
      <c r="V7" s="48"/>
      <c r="W7" s="48"/>
      <c r="X7" s="48"/>
      <c r="Y7" s="37"/>
      <c r="Z7" s="37"/>
      <c r="AL7" s="448"/>
      <c r="AN7" s="449"/>
    </row>
    <row r="8" spans="3:40" ht="12.75">
      <c r="C8" s="393"/>
      <c r="D8" s="12" t="s">
        <v>366</v>
      </c>
      <c r="E8" s="13"/>
      <c r="F8" s="13"/>
      <c r="G8" s="13"/>
      <c r="H8" s="13"/>
      <c r="I8" s="13"/>
      <c r="J8" s="13"/>
      <c r="K8" s="13"/>
      <c r="L8" s="367">
        <f>IF(X8&gt;1,"Spuntare un solo parametro","")</f>
      </c>
      <c r="M8" s="14"/>
      <c r="N8" s="7" t="s">
        <v>365</v>
      </c>
      <c r="O8" s="394"/>
      <c r="T8" s="37"/>
      <c r="U8" s="48"/>
      <c r="V8" s="48"/>
      <c r="W8" s="48"/>
      <c r="X8" s="368">
        <f>SUM(X9:X10)</f>
        <v>0</v>
      </c>
      <c r="Y8" s="37" t="s">
        <v>16</v>
      </c>
      <c r="Z8" s="37"/>
      <c r="AL8" s="448"/>
      <c r="AN8" s="449"/>
    </row>
    <row r="9" spans="3:40" ht="12.75">
      <c r="C9" s="393"/>
      <c r="D9" s="508" t="s">
        <v>367</v>
      </c>
      <c r="E9" s="509"/>
      <c r="F9" s="509"/>
      <c r="G9" s="509"/>
      <c r="H9" s="509"/>
      <c r="I9" s="509"/>
      <c r="J9" s="509"/>
      <c r="K9" s="469"/>
      <c r="L9" s="296"/>
      <c r="M9" s="289" t="s">
        <v>363</v>
      </c>
      <c r="N9" s="7">
        <v>1.25</v>
      </c>
      <c r="O9" s="394"/>
      <c r="T9" s="37"/>
      <c r="U9" s="48"/>
      <c r="V9" s="48"/>
      <c r="W9" s="48"/>
      <c r="X9" s="368">
        <f>IF(L9&gt;0,1,0)</f>
        <v>0</v>
      </c>
      <c r="Y9" s="37"/>
      <c r="Z9" s="37"/>
      <c r="AL9" s="448"/>
      <c r="AN9" s="449"/>
    </row>
    <row r="10" spans="3:40" ht="12.75">
      <c r="C10" s="393"/>
      <c r="D10" s="470"/>
      <c r="E10" s="471"/>
      <c r="F10" s="471"/>
      <c r="G10" s="471"/>
      <c r="H10" s="471"/>
      <c r="I10" s="471"/>
      <c r="J10" s="471"/>
      <c r="K10" s="472"/>
      <c r="L10" s="296"/>
      <c r="M10" s="289" t="s">
        <v>364</v>
      </c>
      <c r="N10" s="7">
        <v>2</v>
      </c>
      <c r="O10" s="394"/>
      <c r="T10" s="37"/>
      <c r="U10" s="48"/>
      <c r="V10" s="48"/>
      <c r="W10" s="48"/>
      <c r="X10" s="368">
        <f>IF(L10&gt;0,1,0)</f>
        <v>0</v>
      </c>
      <c r="Y10" s="37"/>
      <c r="Z10" s="37"/>
      <c r="AL10" s="448"/>
      <c r="AN10" s="449"/>
    </row>
    <row r="11" spans="3:40" ht="12.75">
      <c r="C11" s="39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94"/>
      <c r="T11" s="37"/>
      <c r="U11" s="48"/>
      <c r="V11" s="48"/>
      <c r="W11" s="48"/>
      <c r="X11" s="48"/>
      <c r="Y11" s="37"/>
      <c r="Z11" s="37"/>
      <c r="AL11" s="448"/>
      <c r="AN11" s="449"/>
    </row>
    <row r="12" spans="3:40" ht="12.75">
      <c r="C12" s="393"/>
      <c r="D12" s="3"/>
      <c r="E12" s="3"/>
      <c r="F12" s="3"/>
      <c r="G12" s="3"/>
      <c r="H12" s="3"/>
      <c r="I12" s="3" t="s">
        <v>439</v>
      </c>
      <c r="J12" s="3"/>
      <c r="K12" s="3"/>
      <c r="L12" s="366">
        <f>X12</f>
        <v>0</v>
      </c>
      <c r="M12" s="3"/>
      <c r="N12" s="81"/>
      <c r="O12" s="394"/>
      <c r="P12" s="3"/>
      <c r="Q12" s="3"/>
      <c r="R12" s="6"/>
      <c r="T12" s="110">
        <f>IF(L9&gt;0,L4*1.25,0)</f>
        <v>0</v>
      </c>
      <c r="U12" s="110">
        <f>IF(L10&gt;0,L4*2,0)</f>
        <v>0</v>
      </c>
      <c r="V12" s="49"/>
      <c r="W12" s="49"/>
      <c r="X12" s="48">
        <f>SUM(T12:U12)</f>
        <v>0</v>
      </c>
      <c r="Y12" s="37" t="s">
        <v>16</v>
      </c>
      <c r="Z12" s="37"/>
      <c r="AL12" s="448"/>
      <c r="AN12" s="449"/>
    </row>
    <row r="13" spans="3:40" ht="12.75">
      <c r="C13" s="393"/>
      <c r="D13" s="3"/>
      <c r="E13" s="3"/>
      <c r="F13" s="3"/>
      <c r="G13" s="3"/>
      <c r="H13" s="3"/>
      <c r="I13" s="3" t="s">
        <v>440</v>
      </c>
      <c r="J13" s="3"/>
      <c r="K13" s="3"/>
      <c r="L13" s="366">
        <f>X13</f>
        <v>0</v>
      </c>
      <c r="M13" s="3"/>
      <c r="N13" s="81"/>
      <c r="O13" s="394"/>
      <c r="P13" s="3"/>
      <c r="Q13" s="3"/>
      <c r="T13" s="110">
        <f>IF(L9&gt;0,L5*1.25,0)</f>
        <v>0</v>
      </c>
      <c r="U13" s="110">
        <f>IF(L10&gt;0,L5*2,0)</f>
        <v>0</v>
      </c>
      <c r="V13" s="49"/>
      <c r="W13" s="49"/>
      <c r="X13" s="48">
        <f>SUM(T13:U13)</f>
        <v>0</v>
      </c>
      <c r="Y13" s="37" t="s">
        <v>16</v>
      </c>
      <c r="Z13" s="37"/>
      <c r="AL13" s="448"/>
      <c r="AN13" s="449"/>
    </row>
    <row r="14" spans="3:40" ht="12.75">
      <c r="C14" s="393"/>
      <c r="D14" s="3"/>
      <c r="E14" s="3"/>
      <c r="F14" s="3"/>
      <c r="G14" s="3"/>
      <c r="H14" s="3"/>
      <c r="I14" s="3"/>
      <c r="J14" s="3"/>
      <c r="K14" s="473" t="s">
        <v>444</v>
      </c>
      <c r="L14" s="473"/>
      <c r="M14" s="473"/>
      <c r="N14" s="81"/>
      <c r="O14" s="394"/>
      <c r="P14" s="3"/>
      <c r="Q14" s="3"/>
      <c r="T14" s="49"/>
      <c r="U14" s="49"/>
      <c r="V14" s="49"/>
      <c r="W14" s="49"/>
      <c r="X14" s="48"/>
      <c r="Y14" s="37"/>
      <c r="Z14" s="37"/>
      <c r="AL14" s="448"/>
      <c r="AN14" s="449"/>
    </row>
    <row r="15" spans="3:40" ht="12.75">
      <c r="C15" s="396"/>
      <c r="D15" s="398"/>
      <c r="E15" s="398"/>
      <c r="F15" s="398"/>
      <c r="G15" s="398"/>
      <c r="H15" s="398"/>
      <c r="I15" s="398"/>
      <c r="J15" s="398"/>
      <c r="K15" s="398"/>
      <c r="L15" s="404"/>
      <c r="M15" s="398"/>
      <c r="N15" s="405"/>
      <c r="O15" s="400"/>
      <c r="P15" s="3"/>
      <c r="Q15" s="3"/>
      <c r="T15" s="49"/>
      <c r="U15" s="49"/>
      <c r="V15" s="49"/>
      <c r="W15" s="49"/>
      <c r="X15" s="48"/>
      <c r="Y15" s="37"/>
      <c r="Z15" s="37"/>
      <c r="AL15" s="448"/>
      <c r="AN15" s="449"/>
    </row>
    <row r="16" spans="12:40" ht="12.75">
      <c r="L16" s="111"/>
      <c r="N16" s="81"/>
      <c r="O16" s="3"/>
      <c r="P16" s="3"/>
      <c r="Q16" s="3"/>
      <c r="T16" s="49"/>
      <c r="U16" s="49"/>
      <c r="V16" s="49"/>
      <c r="W16" s="49"/>
      <c r="X16" s="48"/>
      <c r="Y16" s="37"/>
      <c r="Z16" s="37"/>
      <c r="AL16" s="448"/>
      <c r="AN16" s="449"/>
    </row>
    <row r="17" spans="14:40" ht="12.75" hidden="1">
      <c r="N17" s="3"/>
      <c r="O17" s="3"/>
      <c r="P17" s="3"/>
      <c r="Q17" s="3"/>
      <c r="T17" s="37"/>
      <c r="U17" s="48"/>
      <c r="V17" s="48"/>
      <c r="W17" s="48"/>
      <c r="X17" s="48"/>
      <c r="Y17" s="37"/>
      <c r="Z17" s="37"/>
      <c r="AL17" s="448"/>
      <c r="AN17" s="449"/>
    </row>
    <row r="18" spans="38:40" ht="12.75" hidden="1">
      <c r="AL18" s="448"/>
      <c r="AN18" s="449"/>
    </row>
    <row r="19" spans="38:40" ht="12.75" hidden="1">
      <c r="AL19" s="448"/>
      <c r="AN19" s="449"/>
    </row>
    <row r="20" spans="3:40" ht="12.75">
      <c r="C20" s="389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2"/>
      <c r="AL20" s="448"/>
      <c r="AN20" s="449"/>
    </row>
    <row r="21" spans="3:40" ht="12.75">
      <c r="C21" s="393"/>
      <c r="D21" s="5" t="s">
        <v>370</v>
      </c>
      <c r="E21" s="3"/>
      <c r="F21" s="3"/>
      <c r="G21" s="3"/>
      <c r="H21" s="3"/>
      <c r="I21" s="3"/>
      <c r="J21" s="3"/>
      <c r="K21" s="3" t="s">
        <v>445</v>
      </c>
      <c r="L21" s="3"/>
      <c r="M21" s="3"/>
      <c r="N21" s="416"/>
      <c r="O21" s="394"/>
      <c r="AL21" s="448"/>
      <c r="AN21" s="449"/>
    </row>
    <row r="22" spans="3:40" ht="12.75">
      <c r="C22" s="393"/>
      <c r="D22" s="3"/>
      <c r="E22" s="3"/>
      <c r="F22" s="3"/>
      <c r="G22" s="3"/>
      <c r="H22" s="3"/>
      <c r="I22" s="3"/>
      <c r="J22" s="3"/>
      <c r="K22" s="3" t="s">
        <v>446</v>
      </c>
      <c r="L22" s="3"/>
      <c r="M22" s="3"/>
      <c r="N22" s="416"/>
      <c r="O22" s="394"/>
      <c r="AL22" s="448"/>
      <c r="AN22" s="449"/>
    </row>
    <row r="23" spans="3:40" ht="12.75">
      <c r="C23" s="393"/>
      <c r="D23" s="5" t="s">
        <v>371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94"/>
      <c r="AL23" s="448"/>
      <c r="AN23" s="449"/>
    </row>
    <row r="24" spans="3:40" ht="12.75">
      <c r="C24" s="393"/>
      <c r="D24" s="477" t="s">
        <v>379</v>
      </c>
      <c r="E24" s="461"/>
      <c r="F24" s="461"/>
      <c r="G24" s="461"/>
      <c r="H24" s="461"/>
      <c r="I24" s="466"/>
      <c r="J24" s="463" t="s">
        <v>378</v>
      </c>
      <c r="K24" s="464"/>
      <c r="L24" s="464"/>
      <c r="M24" s="464"/>
      <c r="N24" s="465"/>
      <c r="O24" s="394"/>
      <c r="AL24" s="448"/>
      <c r="AN24" s="449"/>
    </row>
    <row r="25" spans="3:40" ht="53.25" customHeight="1">
      <c r="C25" s="393"/>
      <c r="D25" s="459"/>
      <c r="E25" s="462"/>
      <c r="F25" s="462"/>
      <c r="G25" s="462"/>
      <c r="H25" s="462"/>
      <c r="I25" s="460"/>
      <c r="J25" s="291" t="s">
        <v>372</v>
      </c>
      <c r="K25" s="291" t="s">
        <v>373</v>
      </c>
      <c r="L25" s="291" t="s">
        <v>374</v>
      </c>
      <c r="M25" s="291" t="s">
        <v>375</v>
      </c>
      <c r="N25" s="291" t="s">
        <v>376</v>
      </c>
      <c r="O25" s="394"/>
      <c r="R25" s="37"/>
      <c r="S25" s="37"/>
      <c r="T25" s="37"/>
      <c r="U25" s="48"/>
      <c r="V25" s="48"/>
      <c r="W25" s="48"/>
      <c r="X25" s="48"/>
      <c r="Y25" s="37"/>
      <c r="Z25" s="37"/>
      <c r="AA25" s="37"/>
      <c r="AL25" s="448"/>
      <c r="AN25" s="449"/>
    </row>
    <row r="26" spans="3:40" ht="15" customHeight="1">
      <c r="C26" s="393"/>
      <c r="D26" s="474" t="s">
        <v>443</v>
      </c>
      <c r="E26" s="475"/>
      <c r="F26" s="475"/>
      <c r="G26" s="475"/>
      <c r="H26" s="475"/>
      <c r="I26" s="476"/>
      <c r="J26" s="372"/>
      <c r="K26" s="372"/>
      <c r="L26" s="372"/>
      <c r="M26" s="372"/>
      <c r="N26" s="372"/>
      <c r="O26" s="394"/>
      <c r="R26" s="37"/>
      <c r="S26" s="37"/>
      <c r="T26" s="110">
        <f>IF(J26&gt;0,1,0)</f>
        <v>0</v>
      </c>
      <c r="U26" s="110">
        <f>IF(K26&gt;0,1,0)</f>
        <v>0</v>
      </c>
      <c r="V26" s="110">
        <f>IF(L26&gt;0,1,0)</f>
        <v>0</v>
      </c>
      <c r="W26" s="110">
        <f>IF(M26&gt;0,1,0)</f>
        <v>0</v>
      </c>
      <c r="X26" s="110">
        <f>IF(N26&gt;0,1,0)</f>
        <v>0</v>
      </c>
      <c r="Y26" s="37"/>
      <c r="Z26" s="37"/>
      <c r="AA26" s="37"/>
      <c r="AL26" s="448"/>
      <c r="AN26" s="449"/>
    </row>
    <row r="27" spans="3:40" ht="12.75" customHeight="1">
      <c r="C27" s="393"/>
      <c r="D27" s="477" t="s">
        <v>377</v>
      </c>
      <c r="E27" s="466"/>
      <c r="F27" s="296"/>
      <c r="G27" s="12" t="s">
        <v>372</v>
      </c>
      <c r="H27" s="13"/>
      <c r="I27" s="13"/>
      <c r="J27" s="7">
        <v>1</v>
      </c>
      <c r="K27" s="7">
        <v>0.96</v>
      </c>
      <c r="L27" s="7">
        <v>1.5</v>
      </c>
      <c r="M27" s="7">
        <v>0.89</v>
      </c>
      <c r="N27" s="7">
        <v>1.03</v>
      </c>
      <c r="O27" s="394"/>
      <c r="R27" s="37"/>
      <c r="S27" s="110">
        <f>IF(F27&gt;0,1,0)</f>
        <v>0</v>
      </c>
      <c r="T27" s="48">
        <f>IF($S$27+$T$26=2,$N$21*1,"")</f>
      </c>
      <c r="U27" s="48">
        <f>IF($S$27+$U$26=2,$N$21*0.96,"")</f>
      </c>
      <c r="V27" s="48">
        <f>IF($S$27+$V$26=2,$N$21*1.5,"")</f>
      </c>
      <c r="W27" s="48">
        <f>IF($S$27+$W$26=2,$N$21*0.89,"")</f>
      </c>
      <c r="X27" s="48">
        <f>IF($S$27+$X$26=2,$N$21*1.03,"")</f>
      </c>
      <c r="Y27" s="37"/>
      <c r="Z27" s="37"/>
      <c r="AA27" s="37"/>
      <c r="AL27" s="448"/>
      <c r="AN27" s="449"/>
    </row>
    <row r="28" spans="3:40" ht="12.75">
      <c r="C28" s="393"/>
      <c r="D28" s="467"/>
      <c r="E28" s="468"/>
      <c r="F28" s="296"/>
      <c r="G28" s="12" t="s">
        <v>373</v>
      </c>
      <c r="H28" s="13"/>
      <c r="I28" s="13"/>
      <c r="J28" s="7">
        <v>1.04</v>
      </c>
      <c r="K28" s="7">
        <v>1</v>
      </c>
      <c r="L28" s="7">
        <v>1.57</v>
      </c>
      <c r="M28" s="7">
        <v>0.92</v>
      </c>
      <c r="N28" s="7">
        <v>1.19</v>
      </c>
      <c r="O28" s="394"/>
      <c r="R28" s="37"/>
      <c r="S28" s="110">
        <f>IF(F28&gt;0,1,0)</f>
        <v>0</v>
      </c>
      <c r="T28" s="48">
        <f>IF($S$28+$T$26=2,$N$21*1.04,"")</f>
      </c>
      <c r="U28" s="48">
        <f>IF($S$28+$U$26=2,$N$21*1,"")</f>
      </c>
      <c r="V28" s="48">
        <f>IF($S$28+$V$26=2,$N$21*1.57,"")</f>
      </c>
      <c r="W28" s="48">
        <f>IF($S$28+$W$26=2,$N$21*0.92,"")</f>
      </c>
      <c r="X28" s="48">
        <f>IF($S$28+$X$26=2,$N$21*1.19,"")</f>
      </c>
      <c r="Y28" s="37"/>
      <c r="Z28" s="37"/>
      <c r="AA28" s="37"/>
      <c r="AL28" s="448"/>
      <c r="AN28" s="449"/>
    </row>
    <row r="29" spans="3:40" ht="12.75">
      <c r="C29" s="393"/>
      <c r="D29" s="467"/>
      <c r="E29" s="468"/>
      <c r="F29" s="296"/>
      <c r="G29" s="12" t="s">
        <v>374</v>
      </c>
      <c r="H29" s="13"/>
      <c r="I29" s="13"/>
      <c r="J29" s="7">
        <v>0.66</v>
      </c>
      <c r="K29" s="7">
        <v>0.64</v>
      </c>
      <c r="L29" s="7">
        <v>1</v>
      </c>
      <c r="M29" s="7">
        <v>0.59</v>
      </c>
      <c r="N29" s="7">
        <v>0.68</v>
      </c>
      <c r="O29" s="394"/>
      <c r="R29" s="37"/>
      <c r="S29" s="110">
        <f>IF(F29&gt;0,1,0)</f>
        <v>0</v>
      </c>
      <c r="T29" s="48">
        <f>IF($S$29+$T$26=2,$N$21*0.66,"")</f>
      </c>
      <c r="U29" s="48">
        <f>IF($S$29+$U$26=2,$N$21*0.64,"")</f>
      </c>
      <c r="V29" s="48">
        <f>IF($S$29+$V$26=2,$N$21*1,"")</f>
      </c>
      <c r="W29" s="48">
        <f>IF($S$29+$W$26=2,$N$21*0.59,"")</f>
      </c>
      <c r="X29" s="48">
        <f>IF($S$29+$X$26=2,$N$21*0.68,"")</f>
      </c>
      <c r="Y29" s="37"/>
      <c r="Z29" s="37"/>
      <c r="AA29" s="37"/>
      <c r="AL29" s="448"/>
      <c r="AN29" s="449"/>
    </row>
    <row r="30" spans="3:40" ht="12.75">
      <c r="C30" s="393"/>
      <c r="D30" s="467"/>
      <c r="E30" s="468"/>
      <c r="F30" s="296"/>
      <c r="G30" s="12" t="s">
        <v>375</v>
      </c>
      <c r="H30" s="13"/>
      <c r="I30" s="13"/>
      <c r="J30" s="7">
        <v>1.13</v>
      </c>
      <c r="K30" s="7">
        <v>1.08</v>
      </c>
      <c r="L30" s="7">
        <v>1.71</v>
      </c>
      <c r="M30" s="7">
        <v>1</v>
      </c>
      <c r="N30" s="7">
        <v>1.12</v>
      </c>
      <c r="O30" s="394"/>
      <c r="R30" s="37"/>
      <c r="S30" s="110">
        <f>IF(F30&gt;0,1,0)</f>
        <v>0</v>
      </c>
      <c r="T30" s="48">
        <f>IF($S$30+$T$26=2,$N$21*1.13,"")</f>
      </c>
      <c r="U30" s="48">
        <f>IF($S$30+$U$26=2,$N$21*1.08,"")</f>
      </c>
      <c r="V30" s="48">
        <f>IF($S$30+$V$26=2,$N$21*1.71,"")</f>
      </c>
      <c r="W30" s="48">
        <f>IF($S$30+$W$26=2,$N$21*1,"")</f>
      </c>
      <c r="X30" s="48">
        <f>IF($S$30+$X$26=2,$N$21*1.12,"")</f>
      </c>
      <c r="Y30" s="37"/>
      <c r="Z30" s="48" t="s">
        <v>388</v>
      </c>
      <c r="AA30" s="37"/>
      <c r="AL30" s="448"/>
      <c r="AN30" s="449"/>
    </row>
    <row r="31" spans="3:40" ht="12.75">
      <c r="C31" s="393"/>
      <c r="D31" s="459"/>
      <c r="E31" s="460"/>
      <c r="F31" s="296"/>
      <c r="G31" s="12" t="s">
        <v>376</v>
      </c>
      <c r="H31" s="13"/>
      <c r="I31" s="14"/>
      <c r="J31" s="7">
        <v>0.97</v>
      </c>
      <c r="K31" s="7">
        <v>0.84</v>
      </c>
      <c r="L31" s="7">
        <v>1.47</v>
      </c>
      <c r="M31" s="7">
        <v>0.89</v>
      </c>
      <c r="N31" s="7">
        <v>1</v>
      </c>
      <c r="O31" s="394"/>
      <c r="R31" s="37"/>
      <c r="S31" s="110">
        <f>IF(F31&gt;0,1,0)</f>
        <v>0</v>
      </c>
      <c r="T31" s="48">
        <f>IF($S$31+$T$26=2,$N$21*0.97,"")</f>
      </c>
      <c r="U31" s="48">
        <f>IF($S$31+$U$26=2,$N$21*0.84,"")</f>
      </c>
      <c r="V31" s="48">
        <f>IF($S$31+$V$26=2,$N$21*1.47,"")</f>
      </c>
      <c r="W31" s="48">
        <f>IF($S$31+$W$26=2,$N$21*0.89,"")</f>
      </c>
      <c r="X31" s="48">
        <f>IF($S$31+$X$26=2,$N$21*1,"")</f>
      </c>
      <c r="Y31" s="37"/>
      <c r="Z31" s="48">
        <f>SUM(T27:X31)</f>
        <v>0</v>
      </c>
      <c r="AA31" s="37"/>
      <c r="AL31" s="448"/>
      <c r="AN31" s="449"/>
    </row>
    <row r="32" spans="3:40" ht="12.75">
      <c r="C32" s="39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94"/>
      <c r="R32" s="37"/>
      <c r="S32" s="37"/>
      <c r="T32" s="37"/>
      <c r="U32" s="48"/>
      <c r="V32" s="48"/>
      <c r="W32" s="48"/>
      <c r="X32" s="48"/>
      <c r="Y32" s="37"/>
      <c r="Z32" s="48"/>
      <c r="AA32" s="37"/>
      <c r="AL32" s="448"/>
      <c r="AN32" s="449"/>
    </row>
    <row r="33" spans="3:40" ht="12.75">
      <c r="C33" s="393"/>
      <c r="D33" s="3"/>
      <c r="E33" s="3"/>
      <c r="F33" s="3"/>
      <c r="G33" s="3"/>
      <c r="H33" s="3"/>
      <c r="I33" s="3"/>
      <c r="J33" s="3"/>
      <c r="K33" s="3" t="s">
        <v>447</v>
      </c>
      <c r="L33" s="3"/>
      <c r="M33" s="3"/>
      <c r="N33" s="373">
        <f>Z31</f>
        <v>0</v>
      </c>
      <c r="O33" s="394"/>
      <c r="R33" s="37"/>
      <c r="S33" s="37"/>
      <c r="T33" s="37"/>
      <c r="U33" s="48"/>
      <c r="V33" s="48"/>
      <c r="W33" s="48"/>
      <c r="X33" s="48"/>
      <c r="Y33" s="37"/>
      <c r="Z33" s="37"/>
      <c r="AA33" s="37"/>
      <c r="AL33" s="448"/>
      <c r="AN33" s="449"/>
    </row>
    <row r="34" spans="3:40" ht="12.75">
      <c r="C34" s="393"/>
      <c r="D34" s="3"/>
      <c r="E34" s="3"/>
      <c r="F34" s="3"/>
      <c r="G34" s="3"/>
      <c r="H34" s="3"/>
      <c r="I34" s="3"/>
      <c r="J34" s="3"/>
      <c r="K34" s="3" t="s">
        <v>448</v>
      </c>
      <c r="L34" s="3"/>
      <c r="M34" s="3"/>
      <c r="N34" s="373">
        <f>Z39</f>
        <v>0</v>
      </c>
      <c r="O34" s="394"/>
      <c r="R34" s="37"/>
      <c r="S34" s="37"/>
      <c r="T34" s="110">
        <f>IF(J26&gt;0,1,0)</f>
        <v>0</v>
      </c>
      <c r="U34" s="110">
        <f>IF(K26&gt;0,1,0)</f>
        <v>0</v>
      </c>
      <c r="V34" s="110">
        <f>IF(L26&gt;0,1,0)</f>
        <v>0</v>
      </c>
      <c r="W34" s="110">
        <f>IF(M26&gt;0,1,0)</f>
        <v>0</v>
      </c>
      <c r="X34" s="110">
        <f>IF(N26&gt;0,1,0)</f>
        <v>0</v>
      </c>
      <c r="Y34" s="37"/>
      <c r="Z34" s="37"/>
      <c r="AA34" s="37"/>
      <c r="AL34" s="448"/>
      <c r="AN34" s="449"/>
    </row>
    <row r="35" spans="3:40" ht="12.75">
      <c r="C35" s="393"/>
      <c r="D35" s="3"/>
      <c r="E35" s="3"/>
      <c r="F35" s="3"/>
      <c r="G35" s="3"/>
      <c r="H35" s="3"/>
      <c r="I35" s="3"/>
      <c r="J35" s="3"/>
      <c r="K35" s="3"/>
      <c r="L35" s="506" t="s">
        <v>444</v>
      </c>
      <c r="M35" s="506"/>
      <c r="N35" s="506"/>
      <c r="O35" s="507"/>
      <c r="P35" s="369"/>
      <c r="Q35" s="369"/>
      <c r="R35" s="37"/>
      <c r="S35" s="110">
        <f>IF(F27&gt;0,1,0)</f>
        <v>0</v>
      </c>
      <c r="T35" s="48">
        <f>IF($S$35+$T$34=2,$N$22*1,"")</f>
      </c>
      <c r="U35" s="48">
        <f>IF($S$35+$U$34=2,$N$22*0.96,"")</f>
      </c>
      <c r="V35" s="48">
        <f>IF($S$35+$V$34=2,$N$22*1.5,"")</f>
      </c>
      <c r="W35" s="48">
        <f>IF($S$35+$W$34=2,$N$22*0.89,"")</f>
      </c>
      <c r="X35" s="48">
        <f>IF($S$35+$X$34=2,$N$22*1.03,"")</f>
      </c>
      <c r="Y35" s="37"/>
      <c r="Z35" s="37"/>
      <c r="AA35" s="37"/>
      <c r="AL35" s="448"/>
      <c r="AN35" s="449"/>
    </row>
    <row r="36" spans="3:40" ht="12.75">
      <c r="C36" s="396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400"/>
      <c r="R36" s="37"/>
      <c r="S36" s="110">
        <f>IF(F28&gt;0,1,0)</f>
        <v>0</v>
      </c>
      <c r="T36" s="48">
        <f>IF($S$36+$T$34=2,$N$22*1.04,"")</f>
      </c>
      <c r="U36" s="48">
        <f>IF($S$36+$U$34=2,$N$22*1,"")</f>
      </c>
      <c r="V36" s="48">
        <f>IF($S$36+$V$34=2,$N$22*1.57,"")</f>
      </c>
      <c r="W36" s="48">
        <f>IF($S$36+$W$34=2,$N$22*0.92,"")</f>
      </c>
      <c r="X36" s="48">
        <f>IF($S$36+$X$34=2,$N$22*1.19,"")</f>
      </c>
      <c r="Y36" s="37"/>
      <c r="Z36" s="37"/>
      <c r="AA36" s="37"/>
      <c r="AL36" s="448"/>
      <c r="AN36" s="449"/>
    </row>
    <row r="37" spans="18:40" ht="12.75">
      <c r="R37" s="37"/>
      <c r="S37" s="110">
        <f>IF(F29&gt;0,1,0)</f>
        <v>0</v>
      </c>
      <c r="T37" s="48">
        <f>IF($S$37+$T$34=2,$N$22*0.66,"")</f>
      </c>
      <c r="U37" s="48">
        <f>IF($S$38+$U$34=2,$N$22*0.64,"")</f>
      </c>
      <c r="V37" s="48">
        <f>IF($S$37+$V$34=2,$N$22*1,"")</f>
      </c>
      <c r="W37" s="48">
        <f>IF($S$37+$W$34=2,$N$22*0.59,"")</f>
      </c>
      <c r="X37" s="48">
        <f>IF($S$37+$X$34=2,$N$22*0.68,"")</f>
      </c>
      <c r="Y37" s="37"/>
      <c r="Z37" s="37"/>
      <c r="AA37" s="37"/>
      <c r="AL37" s="448"/>
      <c r="AN37" s="449"/>
    </row>
    <row r="38" spans="18:40" ht="12.75" hidden="1">
      <c r="R38" s="37"/>
      <c r="S38" s="110">
        <f>IF(F30&gt;0,1,0)</f>
        <v>0</v>
      </c>
      <c r="T38" s="48">
        <f>IF($S$38+$T$34=2,$N$22*1.13,"")</f>
      </c>
      <c r="U38" s="48">
        <f>IF($S$38+$U$34=2,$N$22*1.08,"")</f>
      </c>
      <c r="V38" s="48">
        <f>IF($S$38+$V$34=2,$N$22*1.71,"")</f>
      </c>
      <c r="W38" s="48">
        <f>IF($S$38+$W$34=2,$N$22*1,"")</f>
      </c>
      <c r="X38" s="48">
        <f>IF($S$38+$X$34=2,$N$22*1.12,"")</f>
      </c>
      <c r="Y38" s="37"/>
      <c r="Z38" s="48" t="s">
        <v>388</v>
      </c>
      <c r="AA38" s="37"/>
      <c r="AL38" s="448"/>
      <c r="AN38" s="449"/>
    </row>
    <row r="39" spans="18:40" ht="12.75" hidden="1">
      <c r="R39" s="37"/>
      <c r="S39" s="110">
        <f>IF(F31&gt;0,1,0)</f>
        <v>0</v>
      </c>
      <c r="T39" s="48">
        <f>IF($S$39+$T$34=2,$N$22*0.97,"")</f>
      </c>
      <c r="U39" s="48">
        <f>IF($S$39+$U$34=2,$N$22*0.84,"")</f>
      </c>
      <c r="V39" s="48">
        <f>IF($S$39+$V$34=2,$N$22*1.47,"")</f>
      </c>
      <c r="W39" s="48">
        <f>IF($S$39+$W$34=2,$N$22*0.89,"")</f>
      </c>
      <c r="X39" s="48">
        <f>IF($S$39+$X$34=2,$N$22*1,"")</f>
      </c>
      <c r="Y39" s="37"/>
      <c r="Z39" s="48">
        <f>SUM(T35:X39)</f>
        <v>0</v>
      </c>
      <c r="AA39" s="37"/>
      <c r="AL39" s="448"/>
      <c r="AN39" s="449"/>
    </row>
    <row r="40" spans="18:40" ht="12.75" hidden="1">
      <c r="R40" s="37"/>
      <c r="S40" s="49"/>
      <c r="T40" s="48"/>
      <c r="U40" s="48"/>
      <c r="V40" s="48"/>
      <c r="W40" s="48"/>
      <c r="X40" s="48"/>
      <c r="Y40" s="37"/>
      <c r="Z40" s="48"/>
      <c r="AA40" s="37"/>
      <c r="AL40" s="448"/>
      <c r="AN40" s="449"/>
    </row>
    <row r="41" spans="18:40" ht="12.75" hidden="1">
      <c r="R41" s="37"/>
      <c r="S41" s="37"/>
      <c r="T41" s="37"/>
      <c r="U41" s="48"/>
      <c r="V41" s="48"/>
      <c r="W41" s="48"/>
      <c r="X41" s="48"/>
      <c r="Y41" s="37"/>
      <c r="Z41" s="37"/>
      <c r="AA41" s="37"/>
      <c r="AL41" s="448"/>
      <c r="AN41" s="449"/>
    </row>
    <row r="42" spans="18:40" ht="12.75" hidden="1">
      <c r="R42" s="37"/>
      <c r="S42" s="37"/>
      <c r="T42" s="37"/>
      <c r="U42" s="48"/>
      <c r="V42" s="48"/>
      <c r="W42" s="48"/>
      <c r="X42" s="48"/>
      <c r="Y42" s="37"/>
      <c r="Z42" s="37"/>
      <c r="AA42" s="37"/>
      <c r="AL42" s="448"/>
      <c r="AN42" s="449"/>
    </row>
    <row r="43" spans="3:40" ht="12.75">
      <c r="C43" s="389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401"/>
      <c r="P43" s="6"/>
      <c r="Q43" s="6"/>
      <c r="R43" s="37"/>
      <c r="S43" s="37"/>
      <c r="T43" s="37"/>
      <c r="U43" s="48"/>
      <c r="V43" s="48"/>
      <c r="W43" s="48"/>
      <c r="X43" s="48"/>
      <c r="Y43" s="37"/>
      <c r="Z43" s="37"/>
      <c r="AA43" s="37"/>
      <c r="AL43" s="448"/>
      <c r="AN43" s="449"/>
    </row>
    <row r="44" spans="3:40" ht="12.75">
      <c r="C44" s="393"/>
      <c r="D44" s="5" t="s">
        <v>380</v>
      </c>
      <c r="E44" s="3"/>
      <c r="F44" s="3"/>
      <c r="G44" s="3"/>
      <c r="H44" s="3"/>
      <c r="I44" s="3"/>
      <c r="J44" s="3"/>
      <c r="K44" s="3" t="s">
        <v>441</v>
      </c>
      <c r="L44" s="3"/>
      <c r="M44" s="3"/>
      <c r="N44" s="416"/>
      <c r="O44" s="394"/>
      <c r="R44" s="37"/>
      <c r="S44" s="37"/>
      <c r="T44" s="37"/>
      <c r="U44" s="48"/>
      <c r="V44" s="48"/>
      <c r="W44" s="48"/>
      <c r="X44" s="48"/>
      <c r="Y44" s="37"/>
      <c r="Z44" s="37"/>
      <c r="AA44" s="37"/>
      <c r="AL44" s="448"/>
      <c r="AN44" s="449"/>
    </row>
    <row r="45" spans="3:40" ht="12.75">
      <c r="C45" s="393"/>
      <c r="D45" s="3"/>
      <c r="E45" s="3"/>
      <c r="F45" s="3"/>
      <c r="G45" s="3"/>
      <c r="H45" s="3"/>
      <c r="I45" s="3"/>
      <c r="J45" s="3"/>
      <c r="K45" s="3" t="s">
        <v>442</v>
      </c>
      <c r="L45" s="3"/>
      <c r="M45" s="3"/>
      <c r="N45" s="416"/>
      <c r="O45" s="394"/>
      <c r="R45" s="37"/>
      <c r="S45" s="37"/>
      <c r="T45" s="37"/>
      <c r="U45" s="48"/>
      <c r="V45" s="48"/>
      <c r="W45" s="48"/>
      <c r="X45" s="48"/>
      <c r="Y45" s="37"/>
      <c r="Z45" s="37"/>
      <c r="AA45" s="37"/>
      <c r="AL45" s="448"/>
      <c r="AN45" s="449"/>
    </row>
    <row r="46" spans="3:40" ht="12.75">
      <c r="C46" s="39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94"/>
      <c r="AL46" s="448"/>
      <c r="AN46" s="449"/>
    </row>
    <row r="47" spans="3:40" ht="12.75">
      <c r="C47" s="393"/>
      <c r="D47" s="5" t="s">
        <v>381</v>
      </c>
      <c r="E47" s="3"/>
      <c r="F47" s="3"/>
      <c r="G47" s="3"/>
      <c r="H47" s="3"/>
      <c r="I47" s="3"/>
      <c r="J47" s="3"/>
      <c r="K47" s="19"/>
      <c r="L47" s="371">
        <f>IF(W49&gt;1,"Spuntare un solo parametro","")</f>
      </c>
      <c r="M47" s="19"/>
      <c r="N47" s="19"/>
      <c r="O47" s="394"/>
      <c r="R47" s="37"/>
      <c r="S47" s="37"/>
      <c r="T47" s="37"/>
      <c r="U47" s="48"/>
      <c r="V47" s="48"/>
      <c r="W47" s="48"/>
      <c r="X47" s="48"/>
      <c r="Y47" s="37"/>
      <c r="Z47" s="37"/>
      <c r="AL47" s="448"/>
      <c r="AN47" s="449"/>
    </row>
    <row r="48" spans="3:40" ht="12.75">
      <c r="C48" s="393"/>
      <c r="D48" s="15" t="s">
        <v>429</v>
      </c>
      <c r="E48" s="16"/>
      <c r="F48" s="16"/>
      <c r="G48" s="16"/>
      <c r="H48" s="16"/>
      <c r="I48" s="16"/>
      <c r="J48" s="17"/>
      <c r="K48" s="178" t="s">
        <v>428</v>
      </c>
      <c r="L48" s="13"/>
      <c r="M48" s="13"/>
      <c r="N48" s="14"/>
      <c r="O48" s="394"/>
      <c r="R48" s="37"/>
      <c r="S48" s="37"/>
      <c r="T48" s="37"/>
      <c r="U48" s="48"/>
      <c r="V48" s="48"/>
      <c r="W48" s="48"/>
      <c r="X48" s="48"/>
      <c r="Y48" s="37"/>
      <c r="Z48" s="37"/>
      <c r="AL48" s="448"/>
      <c r="AN48" s="449"/>
    </row>
    <row r="49" spans="3:40" ht="12.75">
      <c r="C49" s="393"/>
      <c r="D49" s="18"/>
      <c r="E49" s="19"/>
      <c r="F49" s="19"/>
      <c r="G49" s="19"/>
      <c r="H49" s="19"/>
      <c r="I49" s="19"/>
      <c r="J49" s="370"/>
      <c r="K49" s="361"/>
      <c r="L49" s="296"/>
      <c r="M49" s="296"/>
      <c r="N49" s="296"/>
      <c r="O49" s="394"/>
      <c r="R49" s="37"/>
      <c r="S49" s="368">
        <f>IF(K49&gt;0,1,0)</f>
        <v>0</v>
      </c>
      <c r="T49" s="368">
        <f>IF(L49&gt;0,1,0)</f>
        <v>0</v>
      </c>
      <c r="U49" s="368">
        <f>IF(M49&gt;0,1,0)</f>
        <v>0</v>
      </c>
      <c r="V49" s="368">
        <f>IF(N49&gt;0,1,0)</f>
        <v>0</v>
      </c>
      <c r="W49" s="110">
        <f>SUM(S49:V49)</f>
        <v>0</v>
      </c>
      <c r="X49" s="48"/>
      <c r="Y49" s="37"/>
      <c r="Z49" s="37"/>
      <c r="AL49" s="448"/>
      <c r="AN49" s="449"/>
    </row>
    <row r="50" spans="3:40" ht="64.5" customHeight="1">
      <c r="C50" s="393"/>
      <c r="D50" s="455" t="s">
        <v>430</v>
      </c>
      <c r="E50" s="456"/>
      <c r="F50" s="456"/>
      <c r="G50" s="456"/>
      <c r="H50" s="456"/>
      <c r="I50" s="456"/>
      <c r="J50" s="457"/>
      <c r="K50" s="363" t="s">
        <v>424</v>
      </c>
      <c r="L50" s="291" t="s">
        <v>425</v>
      </c>
      <c r="M50" s="291" t="s">
        <v>426</v>
      </c>
      <c r="N50" s="291" t="s">
        <v>427</v>
      </c>
      <c r="O50" s="394"/>
      <c r="R50" s="37"/>
      <c r="S50" s="37"/>
      <c r="T50" s="37"/>
      <c r="U50" s="48"/>
      <c r="V50" s="48"/>
      <c r="W50" s="48"/>
      <c r="X50" s="368"/>
      <c r="Y50" s="37"/>
      <c r="Z50" s="37"/>
      <c r="AL50" s="448"/>
      <c r="AN50" s="449"/>
    </row>
    <row r="51" spans="3:40" ht="25.5" customHeight="1">
      <c r="C51" s="393"/>
      <c r="D51" s="18"/>
      <c r="E51" s="19"/>
      <c r="F51" s="19"/>
      <c r="G51" s="19"/>
      <c r="H51" s="19"/>
      <c r="I51" s="19"/>
      <c r="J51" s="20"/>
      <c r="K51" s="364">
        <v>0.86</v>
      </c>
      <c r="L51" s="353">
        <v>1.3</v>
      </c>
      <c r="M51" s="353">
        <v>0.88</v>
      </c>
      <c r="N51" s="353">
        <v>0.42</v>
      </c>
      <c r="O51" s="394"/>
      <c r="R51" s="37"/>
      <c r="S51" s="37"/>
      <c r="T51" s="37"/>
      <c r="U51" s="48"/>
      <c r="V51" s="48"/>
      <c r="W51" s="48"/>
      <c r="X51" s="368"/>
      <c r="Y51" s="37"/>
      <c r="Z51" s="37"/>
      <c r="AL51" s="448"/>
      <c r="AN51" s="449"/>
    </row>
    <row r="52" spans="3:40" ht="12.75">
      <c r="C52" s="39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94"/>
      <c r="R52" s="37"/>
      <c r="S52" s="37"/>
      <c r="T52" s="37"/>
      <c r="U52" s="48"/>
      <c r="V52" s="48"/>
      <c r="W52" s="48"/>
      <c r="X52" s="368"/>
      <c r="Y52" s="37"/>
      <c r="Z52" s="37"/>
      <c r="AL52" s="448"/>
      <c r="AN52" s="449"/>
    </row>
    <row r="53" spans="3:40" ht="12.75">
      <c r="C53" s="393"/>
      <c r="D53" s="3"/>
      <c r="E53" s="3"/>
      <c r="F53" s="3"/>
      <c r="G53" s="3"/>
      <c r="H53" s="3"/>
      <c r="I53" s="3"/>
      <c r="J53" s="3"/>
      <c r="K53" s="3" t="s">
        <v>449</v>
      </c>
      <c r="L53" s="3"/>
      <c r="M53" s="3"/>
      <c r="N53" s="366">
        <f>X54</f>
        <v>0</v>
      </c>
      <c r="O53" s="394"/>
      <c r="R53" s="37"/>
      <c r="S53" s="37"/>
      <c r="T53" s="37"/>
      <c r="U53" s="48"/>
      <c r="V53" s="48"/>
      <c r="W53" s="48"/>
      <c r="X53" s="48"/>
      <c r="Y53" s="37"/>
      <c r="Z53" s="37"/>
      <c r="AL53" s="448"/>
      <c r="AN53" s="449"/>
    </row>
    <row r="54" spans="3:40" ht="12.75">
      <c r="C54" s="393"/>
      <c r="D54" s="3"/>
      <c r="E54" s="3"/>
      <c r="F54" s="3"/>
      <c r="G54" s="3"/>
      <c r="H54" s="3"/>
      <c r="I54" s="3"/>
      <c r="J54" s="3"/>
      <c r="K54" s="3" t="s">
        <v>450</v>
      </c>
      <c r="L54" s="3"/>
      <c r="M54" s="3"/>
      <c r="N54" s="366">
        <f>X55</f>
        <v>0</v>
      </c>
      <c r="O54" s="394"/>
      <c r="R54" s="37"/>
      <c r="S54" s="37"/>
      <c r="T54" s="110">
        <f>IF($K49&gt;0,$N$44*0.86,0)</f>
        <v>0</v>
      </c>
      <c r="U54" s="110">
        <f>IF($L49&gt;0,$N$44*1.3,0)</f>
        <v>0</v>
      </c>
      <c r="V54" s="110">
        <f>IF($M49&gt;0,$N$44*0.88,0)</f>
        <v>0</v>
      </c>
      <c r="W54" s="110">
        <f>IF($N49&gt;0,$N$44*0.42,0)</f>
        <v>0</v>
      </c>
      <c r="X54" s="48">
        <f>SUM(T54:W54)</f>
        <v>0</v>
      </c>
      <c r="Y54" s="37" t="s">
        <v>16</v>
      </c>
      <c r="Z54" s="37"/>
      <c r="AL54" s="448"/>
      <c r="AN54" s="449"/>
    </row>
    <row r="55" spans="3:40" ht="12.75">
      <c r="C55" s="393"/>
      <c r="D55" s="3"/>
      <c r="E55" s="3"/>
      <c r="F55" s="3"/>
      <c r="G55" s="3"/>
      <c r="H55" s="3"/>
      <c r="I55" s="3"/>
      <c r="J55" s="3"/>
      <c r="K55" s="3"/>
      <c r="L55" s="506" t="s">
        <v>444</v>
      </c>
      <c r="M55" s="506"/>
      <c r="N55" s="506"/>
      <c r="O55" s="507"/>
      <c r="P55" s="369"/>
      <c r="Q55" s="369"/>
      <c r="R55" s="37"/>
      <c r="S55" s="37"/>
      <c r="T55" s="110">
        <f>IF($K49&gt;0,$N$45*0.86,0)</f>
        <v>0</v>
      </c>
      <c r="U55" s="110">
        <f>IF($L49&gt;0,$N$45*1.3,0)</f>
        <v>0</v>
      </c>
      <c r="V55" s="110">
        <f>IF($M49&gt;0,$N$45*0.88,0)</f>
        <v>0</v>
      </c>
      <c r="W55" s="110">
        <f>IF($N49&gt;0,$N$45*0.42,0)</f>
        <v>0</v>
      </c>
      <c r="X55" s="48">
        <f>SUM(T55:W55)</f>
        <v>0</v>
      </c>
      <c r="Y55" s="37" t="s">
        <v>16</v>
      </c>
      <c r="Z55" s="37"/>
      <c r="AL55" s="448"/>
      <c r="AN55" s="449"/>
    </row>
    <row r="56" spans="3:40" ht="12.75">
      <c r="C56" s="396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400"/>
      <c r="R56" s="37"/>
      <c r="S56" s="37"/>
      <c r="T56" s="37"/>
      <c r="U56" s="48"/>
      <c r="V56" s="48"/>
      <c r="W56" s="48"/>
      <c r="X56" s="48"/>
      <c r="Y56" s="37"/>
      <c r="Z56" s="37"/>
      <c r="AL56" s="448"/>
      <c r="AN56" s="449"/>
    </row>
    <row r="57" spans="18:40" ht="12.75">
      <c r="R57" s="37"/>
      <c r="S57" s="37"/>
      <c r="T57" s="37"/>
      <c r="U57" s="48"/>
      <c r="V57" s="48"/>
      <c r="W57" s="48"/>
      <c r="X57" s="48"/>
      <c r="Y57" s="37"/>
      <c r="Z57" s="37"/>
      <c r="AL57" s="448"/>
      <c r="AN57" s="449"/>
    </row>
    <row r="58" spans="3:40" ht="12.75">
      <c r="C58" s="389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2"/>
      <c r="R58" s="37"/>
      <c r="S58" s="37"/>
      <c r="T58" s="37"/>
      <c r="U58" s="48"/>
      <c r="V58" s="48"/>
      <c r="W58" s="48"/>
      <c r="X58" s="48"/>
      <c r="Y58" s="37"/>
      <c r="Z58" s="37"/>
      <c r="AL58" s="448"/>
      <c r="AN58" s="449"/>
    </row>
    <row r="59" spans="3:40" ht="12.75">
      <c r="C59" s="393"/>
      <c r="D59" s="5" t="s">
        <v>431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94"/>
      <c r="AL59" s="448"/>
      <c r="AN59" s="449"/>
    </row>
    <row r="60" spans="3:40" ht="12.75">
      <c r="C60" s="39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94"/>
      <c r="AL60" s="448"/>
      <c r="AN60" s="449"/>
    </row>
    <row r="61" spans="3:40" ht="12.75">
      <c r="C61" s="393"/>
      <c r="D61" s="5" t="s">
        <v>432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94"/>
      <c r="AL61" s="448"/>
      <c r="AN61" s="449"/>
    </row>
    <row r="62" spans="3:40" ht="12.75">
      <c r="C62" s="39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94"/>
      <c r="AL62" s="448"/>
      <c r="AN62" s="449"/>
    </row>
    <row r="63" spans="3:40" ht="12.75">
      <c r="C63" s="393"/>
      <c r="D63" s="366" t="e">
        <f>(E63*F63*G63*H63)/I63*0.475</f>
        <v>#DIV/0!</v>
      </c>
      <c r="E63" s="415"/>
      <c r="F63" s="415"/>
      <c r="G63" s="415"/>
      <c r="H63" s="415"/>
      <c r="I63" s="415"/>
      <c r="J63" s="365">
        <v>0.475</v>
      </c>
      <c r="K63" s="3"/>
      <c r="L63" s="3"/>
      <c r="M63" s="3"/>
      <c r="N63" s="3"/>
      <c r="O63" s="394"/>
      <c r="AL63" s="448"/>
      <c r="AN63" s="449"/>
    </row>
    <row r="64" spans="3:40" ht="12.75">
      <c r="C64" s="393"/>
      <c r="D64" s="10" t="s">
        <v>433</v>
      </c>
      <c r="E64" s="10" t="s">
        <v>435</v>
      </c>
      <c r="F64" s="10" t="s">
        <v>438</v>
      </c>
      <c r="G64" s="10" t="s">
        <v>434</v>
      </c>
      <c r="H64" s="388" t="s">
        <v>436</v>
      </c>
      <c r="I64" s="10" t="s">
        <v>437</v>
      </c>
      <c r="J64" s="10">
        <v>0.475</v>
      </c>
      <c r="K64" s="3"/>
      <c r="L64" s="3"/>
      <c r="M64" s="3"/>
      <c r="N64" s="3"/>
      <c r="O64" s="394"/>
      <c r="AL64" s="448"/>
      <c r="AN64" s="449"/>
    </row>
    <row r="65" spans="3:40" ht="12.75">
      <c r="C65" s="396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400"/>
      <c r="AL65" s="448"/>
      <c r="AN65" s="449"/>
    </row>
  </sheetData>
  <sheetProtection password="8090" sheet="1" objects="1" scenarios="1"/>
  <mergeCells count="10">
    <mergeCell ref="D2:N2"/>
    <mergeCell ref="L35:O35"/>
    <mergeCell ref="L55:O55"/>
    <mergeCell ref="D9:K10"/>
    <mergeCell ref="K14:M14"/>
    <mergeCell ref="D26:I26"/>
    <mergeCell ref="D27:E31"/>
    <mergeCell ref="D24:I25"/>
    <mergeCell ref="J24:N24"/>
    <mergeCell ref="D50:J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7" r:id="rId1"/>
  <headerFooter alignWithMargins="0">
    <oddFooter>&amp;Cfoglio "Conversione OMI"&amp;Rpag.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B135"/>
  <sheetViews>
    <sheetView workbookViewId="0" topLeftCell="I1">
      <selection activeCell="GO13" sqref="GO13"/>
    </sheetView>
  </sheetViews>
  <sheetFormatPr defaultColWidth="9.140625" defaultRowHeight="12.75"/>
  <cols>
    <col min="1" max="7" width="8.8515625" style="48" hidden="1" customWidth="1"/>
    <col min="8" max="8" width="3.140625" style="0" hidden="1" customWidth="1"/>
    <col min="9" max="9" width="8.140625" style="0" customWidth="1"/>
    <col min="10" max="10" width="3.140625" style="0" customWidth="1"/>
    <col min="11" max="11" width="19.421875" style="0" customWidth="1"/>
    <col min="12" max="12" width="31.00390625" style="0" customWidth="1"/>
    <col min="13" max="13" width="6.28125" style="6" customWidth="1"/>
    <col min="14" max="14" width="3.140625" style="6" customWidth="1"/>
    <col min="15" max="15" width="10.28125" style="6" customWidth="1"/>
    <col min="16" max="16" width="8.57421875" style="0" customWidth="1"/>
    <col min="17" max="17" width="3.00390625" style="0" customWidth="1"/>
    <col min="18" max="18" width="11.7109375" style="0" customWidth="1"/>
    <col min="19" max="19" width="9.8515625" style="0" customWidth="1"/>
    <col min="20" max="20" width="2.7109375" style="0" customWidth="1"/>
    <col min="21" max="21" width="9.00390625" style="0" customWidth="1"/>
    <col min="22" max="22" width="13.140625" style="0" customWidth="1"/>
    <col min="23" max="23" width="3.28125" style="0" customWidth="1"/>
    <col min="25" max="25" width="10.57421875" style="0" customWidth="1"/>
    <col min="26" max="27" width="8.8515625" style="0" hidden="1" customWidth="1"/>
    <col min="28" max="28" width="4.00390625" style="0" hidden="1" customWidth="1"/>
    <col min="29" max="29" width="11.28125" style="0" hidden="1" customWidth="1"/>
    <col min="30" max="30" width="3.28125" style="0" hidden="1" customWidth="1"/>
    <col min="31" max="31" width="4.140625" style="0" hidden="1" customWidth="1"/>
    <col min="32" max="32" width="8.8515625" style="0" hidden="1" customWidth="1"/>
    <col min="33" max="33" width="3.57421875" style="0" hidden="1" customWidth="1"/>
    <col min="34" max="34" width="4.7109375" style="0" hidden="1" customWidth="1"/>
    <col min="35" max="35" width="8.8515625" style="0" hidden="1" customWidth="1"/>
    <col min="36" max="36" width="4.140625" style="0" hidden="1" customWidth="1"/>
    <col min="37" max="37" width="3.57421875" style="0" hidden="1" customWidth="1"/>
    <col min="38" max="41" width="8.8515625" style="0" hidden="1" customWidth="1"/>
    <col min="42" max="42" width="5.140625" style="0" hidden="1" customWidth="1"/>
    <col min="43" max="43" width="6.7109375" style="0" hidden="1" customWidth="1"/>
    <col min="44" max="44" width="6.00390625" style="0" hidden="1" customWidth="1"/>
    <col min="45" max="45" width="6.7109375" style="0" hidden="1" customWidth="1"/>
    <col min="46" max="46" width="7.7109375" style="0" hidden="1" customWidth="1"/>
    <col min="47" max="48" width="8.8515625" style="0" hidden="1" customWidth="1"/>
    <col min="49" max="49" width="7.7109375" style="0" hidden="1" customWidth="1"/>
    <col min="50" max="50" width="6.140625" style="0" hidden="1" customWidth="1"/>
    <col min="51" max="53" width="8.8515625" style="0" hidden="1" customWidth="1"/>
    <col min="54" max="193" width="0" style="0" hidden="1" customWidth="1"/>
    <col min="194" max="194" width="0.85546875" style="0" customWidth="1"/>
    <col min="195" max="195" width="1.7109375" style="0" customWidth="1"/>
  </cols>
  <sheetData>
    <row r="2" spans="11:195" ht="21">
      <c r="K2" s="533" t="s">
        <v>422</v>
      </c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GM2" s="448"/>
    </row>
    <row r="3" ht="13.5" thickBot="1">
      <c r="GM3" s="448"/>
    </row>
    <row r="4" spans="1:195" ht="13.5" thickBot="1">
      <c r="A4" s="54">
        <f>IF(J4&gt;0,1,0)</f>
        <v>0</v>
      </c>
      <c r="B4" s="49"/>
      <c r="C4" s="49"/>
      <c r="D4" s="49"/>
      <c r="E4" s="49"/>
      <c r="F4" s="49">
        <f>IF(J4&gt;0,1,0)</f>
        <v>0</v>
      </c>
      <c r="G4" s="49"/>
      <c r="J4" s="294"/>
      <c r="K4" s="10" t="s">
        <v>10</v>
      </c>
      <c r="L4" s="72">
        <f>IF(F6&gt;1,"Spuntare una sola delle condizioni &gt; o &lt; 7000 mc","")</f>
      </c>
      <c r="M4" s="3"/>
      <c r="GM4" s="448"/>
    </row>
    <row r="5" spans="1:195" ht="13.5" thickBot="1">
      <c r="A5" s="54">
        <f>IF(J5&gt;0,1,0)</f>
        <v>0</v>
      </c>
      <c r="B5" s="49"/>
      <c r="C5" s="49"/>
      <c r="D5" s="49"/>
      <c r="E5" s="49"/>
      <c r="F5" s="49">
        <f>IF(J5&gt;0,1,0)</f>
        <v>0</v>
      </c>
      <c r="G5" s="49"/>
      <c r="J5" s="294"/>
      <c r="K5" s="10" t="s">
        <v>11</v>
      </c>
      <c r="L5" s="72" t="str">
        <f>IF(F6=0,"Spuntare una delle condizioni &gt; o &lt; 7000 mc","")</f>
        <v>Spuntare una delle condizioni &gt; o &lt; 7000 mc</v>
      </c>
      <c r="M5" s="3"/>
      <c r="O5" s="124" t="s">
        <v>207</v>
      </c>
      <c r="R5" s="408">
        <f>'Valore OMI_Usi'!S8</f>
        <v>0</v>
      </c>
      <c r="GM5" s="448"/>
    </row>
    <row r="6" spans="6:195" ht="12.75">
      <c r="F6" s="48">
        <f>SUM(F4:F5)</f>
        <v>0</v>
      </c>
      <c r="O6" s="124" t="s">
        <v>208</v>
      </c>
      <c r="R6" s="408">
        <f>'Valore OMI_Usi'!S9</f>
        <v>0</v>
      </c>
      <c r="GM6" s="448"/>
    </row>
    <row r="7" ht="12.75">
      <c r="GM7" s="448"/>
    </row>
    <row r="8" ht="12.75" hidden="1">
      <c r="GM8" s="448"/>
    </row>
    <row r="9" spans="18:195" ht="12.75" hidden="1">
      <c r="R9" s="74">
        <f>IF(B32&gt;1,"Spuntare uno solo degli interventi","")</f>
      </c>
      <c r="AV9" s="209"/>
      <c r="GM9" s="448"/>
    </row>
    <row r="10" ht="12.75" hidden="1">
      <c r="GM10" s="448"/>
    </row>
    <row r="11" spans="11:195" ht="12.75" customHeight="1">
      <c r="K11" s="534" t="s">
        <v>109</v>
      </c>
      <c r="L11" s="535"/>
      <c r="M11" s="538" t="s">
        <v>110</v>
      </c>
      <c r="N11" s="513" t="s">
        <v>419</v>
      </c>
      <c r="O11" s="514"/>
      <c r="P11" s="515"/>
      <c r="Q11" s="513" t="s">
        <v>420</v>
      </c>
      <c r="R11" s="514"/>
      <c r="S11" s="515"/>
      <c r="T11" s="454" t="s">
        <v>351</v>
      </c>
      <c r="U11" s="450"/>
      <c r="V11" s="451"/>
      <c r="W11" s="454" t="s">
        <v>397</v>
      </c>
      <c r="X11" s="450"/>
      <c r="Y11" s="451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P11" s="209"/>
      <c r="AR11" s="209"/>
      <c r="AS11" s="209"/>
      <c r="AT11" s="209"/>
      <c r="AU11" s="210"/>
      <c r="AW11" s="209"/>
      <c r="AX11" s="209"/>
      <c r="AZ11" s="3"/>
      <c r="BA11" s="3"/>
      <c r="BB11" s="3"/>
      <c r="BC11" s="3"/>
      <c r="BD11" s="3"/>
      <c r="BE11" s="3"/>
      <c r="BF11" s="3"/>
      <c r="BG11" s="3"/>
      <c r="BH11" s="3"/>
      <c r="BI11" s="3"/>
      <c r="GM11" s="448"/>
    </row>
    <row r="12" spans="10:195" ht="58.5" customHeight="1">
      <c r="J12" s="242"/>
      <c r="K12" s="536"/>
      <c r="L12" s="537"/>
      <c r="M12" s="539"/>
      <c r="N12" s="516"/>
      <c r="O12" s="517"/>
      <c r="P12" s="518"/>
      <c r="Q12" s="516"/>
      <c r="R12" s="517"/>
      <c r="S12" s="518"/>
      <c r="T12" s="510"/>
      <c r="U12" s="511"/>
      <c r="V12" s="512"/>
      <c r="W12" s="510"/>
      <c r="X12" s="511"/>
      <c r="Y12" s="512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P12" s="209"/>
      <c r="AQ12" s="210" t="s">
        <v>8</v>
      </c>
      <c r="AR12" s="210"/>
      <c r="AS12" s="210" t="s">
        <v>9</v>
      </c>
      <c r="AT12" s="210"/>
      <c r="AU12" s="210"/>
      <c r="AV12" s="210" t="s">
        <v>8</v>
      </c>
      <c r="AW12" s="210"/>
      <c r="AX12" s="210" t="s">
        <v>9</v>
      </c>
      <c r="AZ12" s="3"/>
      <c r="BA12" s="3"/>
      <c r="BB12" s="3"/>
      <c r="BC12" s="3"/>
      <c r="BD12" s="3"/>
      <c r="BE12" s="3"/>
      <c r="BF12" s="3"/>
      <c r="BG12" s="3"/>
      <c r="BH12" s="3"/>
      <c r="BI12" s="3"/>
      <c r="GM12" s="448"/>
    </row>
    <row r="13" spans="2:236" ht="12.75" customHeight="1">
      <c r="B13" s="54">
        <f>IF(N13&gt;0,1,0)</f>
        <v>0</v>
      </c>
      <c r="C13" s="54">
        <f>IF(Q13&gt;0,1,0)</f>
        <v>0</v>
      </c>
      <c r="D13" s="54">
        <f>IF(T13&gt;0,1,0)</f>
        <v>0</v>
      </c>
      <c r="E13" s="54"/>
      <c r="J13" s="243"/>
      <c r="K13" s="532" t="s">
        <v>398</v>
      </c>
      <c r="L13" s="531" t="s">
        <v>105</v>
      </c>
      <c r="M13" s="7" t="s">
        <v>338</v>
      </c>
      <c r="N13" s="520"/>
      <c r="O13" s="8">
        <v>85</v>
      </c>
      <c r="P13" s="519">
        <v>195</v>
      </c>
      <c r="Q13" s="520"/>
      <c r="R13" s="8">
        <v>59.5</v>
      </c>
      <c r="S13" s="519">
        <v>136.5</v>
      </c>
      <c r="T13" s="520"/>
      <c r="U13" s="8">
        <v>8.5</v>
      </c>
      <c r="V13" s="519">
        <v>19.5</v>
      </c>
      <c r="W13" s="129"/>
      <c r="Y13" s="17"/>
      <c r="AB13" s="525">
        <f>IF(N13&gt;0,1,"")</f>
      </c>
      <c r="AC13" s="150">
        <f>IF(N13&gt;0,O13,0)</f>
        <v>0</v>
      </c>
      <c r="AD13" s="38"/>
      <c r="AE13" s="525">
        <f aca="true" t="shared" si="0" ref="AE13:AE29">IF(Q13&gt;0,1,"")</f>
      </c>
      <c r="AF13" s="150">
        <f>IF(Q13&gt;0,R13,0)</f>
        <v>0</v>
      </c>
      <c r="AG13" s="38"/>
      <c r="AH13" s="525">
        <f>IF(T13&gt;0,1,"")</f>
      </c>
      <c r="AI13" s="150">
        <f>IF(T13&gt;0,U13,0)</f>
        <v>0</v>
      </c>
      <c r="AJ13" s="38"/>
      <c r="AK13" s="37"/>
      <c r="AL13" s="37"/>
      <c r="AM13" s="37"/>
      <c r="AP13" s="222" t="s">
        <v>123</v>
      </c>
      <c r="AQ13" s="237">
        <v>0.1</v>
      </c>
      <c r="AR13" s="245">
        <f aca="true" t="shared" si="1" ref="AR13:AR36">IF($A$4+$A35=2,$AQ13,0)</f>
        <v>0</v>
      </c>
      <c r="AS13" s="237">
        <v>0</v>
      </c>
      <c r="AT13" s="245">
        <f aca="true" t="shared" si="2" ref="AT13:AT36">IF($A$4+$A35=2,$AS13,0)</f>
        <v>0</v>
      </c>
      <c r="AU13" s="236"/>
      <c r="AV13" s="237">
        <v>0.3</v>
      </c>
      <c r="AW13" s="245">
        <f aca="true" t="shared" si="3" ref="AW13:AW36">IF($A$5+$A35=2,$AV13,0)</f>
        <v>0</v>
      </c>
      <c r="AX13" s="237">
        <v>0.7</v>
      </c>
      <c r="AY13" s="245">
        <f aca="true" t="shared" si="4" ref="AY13:AY36">IF($A$5+$A35=2,$AX13,0)</f>
        <v>0</v>
      </c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448"/>
      <c r="GN13" s="236"/>
      <c r="GO13" s="236"/>
      <c r="GP13" s="236"/>
      <c r="GQ13" s="236"/>
      <c r="GR13" s="236"/>
      <c r="GS13" s="236"/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36"/>
      <c r="HJ13" s="236"/>
      <c r="HK13" s="236"/>
      <c r="HL13" s="236"/>
      <c r="HM13" s="236"/>
      <c r="HN13" s="236"/>
      <c r="HO13" s="236"/>
      <c r="HP13" s="236"/>
      <c r="HQ13" s="236"/>
      <c r="HR13" s="236"/>
      <c r="HS13" s="236"/>
      <c r="HT13" s="236"/>
      <c r="HU13" s="236"/>
      <c r="HV13" s="236"/>
      <c r="HW13" s="236"/>
      <c r="HX13" s="236"/>
      <c r="HY13" s="236"/>
      <c r="HZ13" s="236"/>
      <c r="IA13" s="236"/>
      <c r="IB13" s="236"/>
    </row>
    <row r="14" spans="2:236" ht="12.75">
      <c r="B14" s="54"/>
      <c r="C14" s="54"/>
      <c r="D14" s="54"/>
      <c r="E14" s="54"/>
      <c r="J14" s="243"/>
      <c r="K14" s="532"/>
      <c r="L14" s="532"/>
      <c r="M14" s="7" t="s">
        <v>339</v>
      </c>
      <c r="N14" s="521"/>
      <c r="O14" s="8">
        <v>110</v>
      </c>
      <c r="P14" s="519"/>
      <c r="Q14" s="521"/>
      <c r="R14" s="8">
        <v>77</v>
      </c>
      <c r="S14" s="519"/>
      <c r="T14" s="521"/>
      <c r="U14" s="8">
        <v>11</v>
      </c>
      <c r="V14" s="519"/>
      <c r="W14" s="129"/>
      <c r="Y14" s="22"/>
      <c r="AB14" s="525"/>
      <c r="AC14" s="150">
        <f>IF(N13&gt;0,O14,0)</f>
        <v>0</v>
      </c>
      <c r="AD14" s="38"/>
      <c r="AE14" s="525"/>
      <c r="AF14" s="150">
        <f>IF(Q13&gt;0,R14,0)</f>
        <v>0</v>
      </c>
      <c r="AG14" s="38"/>
      <c r="AH14" s="525"/>
      <c r="AI14" s="150">
        <f>IF(T13&gt;0,U14,0)</f>
        <v>0</v>
      </c>
      <c r="AJ14" s="38"/>
      <c r="AK14" s="37"/>
      <c r="AL14" s="37"/>
      <c r="AM14" s="37"/>
      <c r="AP14" s="222" t="s">
        <v>124</v>
      </c>
      <c r="AQ14" s="237">
        <v>0.1</v>
      </c>
      <c r="AR14" s="245">
        <f t="shared" si="1"/>
        <v>0</v>
      </c>
      <c r="AS14" s="237">
        <v>0</v>
      </c>
      <c r="AT14" s="245">
        <f t="shared" si="2"/>
        <v>0</v>
      </c>
      <c r="AU14" s="236"/>
      <c r="AV14" s="237">
        <v>0.3</v>
      </c>
      <c r="AW14" s="245">
        <f t="shared" si="3"/>
        <v>0</v>
      </c>
      <c r="AX14" s="237">
        <v>0.7</v>
      </c>
      <c r="AY14" s="245">
        <f t="shared" si="4"/>
        <v>0</v>
      </c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448"/>
      <c r="GN14" s="236"/>
      <c r="GO14" s="236"/>
      <c r="GP14" s="236"/>
      <c r="GQ14" s="236"/>
      <c r="GR14" s="236"/>
      <c r="GS14" s="236"/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36"/>
      <c r="HJ14" s="236"/>
      <c r="HK14" s="236"/>
      <c r="HL14" s="236"/>
      <c r="HM14" s="236"/>
      <c r="HN14" s="236"/>
      <c r="HO14" s="236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</row>
    <row r="15" spans="2:236" ht="12.75">
      <c r="B15" s="54">
        <f aca="true" t="shared" si="5" ref="B15:B29">IF(N15&gt;0,1,0)</f>
        <v>0</v>
      </c>
      <c r="C15" s="54">
        <f aca="true" t="shared" si="6" ref="C15:C29">IF(Q15&gt;0,1,0)</f>
        <v>0</v>
      </c>
      <c r="D15" s="54">
        <f>IF(T15&gt;0,1,0)</f>
        <v>0</v>
      </c>
      <c r="E15" s="54"/>
      <c r="J15" s="243"/>
      <c r="K15" s="532"/>
      <c r="L15" s="532" t="s">
        <v>107</v>
      </c>
      <c r="M15" s="7" t="s">
        <v>338</v>
      </c>
      <c r="N15" s="520"/>
      <c r="O15" s="8">
        <v>85</v>
      </c>
      <c r="P15" s="519">
        <v>195</v>
      </c>
      <c r="Q15" s="520"/>
      <c r="R15" s="8">
        <v>59.5</v>
      </c>
      <c r="S15" s="519">
        <v>136.5</v>
      </c>
      <c r="T15" s="520"/>
      <c r="U15" s="8">
        <v>8.5</v>
      </c>
      <c r="V15" s="519">
        <v>19.5</v>
      </c>
      <c r="W15" s="129"/>
      <c r="Y15" s="22"/>
      <c r="AB15" s="525">
        <f>IF(N15&gt;0,1,"")</f>
      </c>
      <c r="AC15" s="150">
        <f>IF(N15&gt;0,O15,0)</f>
        <v>0</v>
      </c>
      <c r="AD15" s="38"/>
      <c r="AE15" s="525">
        <f t="shared" si="0"/>
      </c>
      <c r="AF15" s="150">
        <f>IF(Q15&gt;0,R15,0)</f>
        <v>0</v>
      </c>
      <c r="AG15" s="38"/>
      <c r="AH15" s="525">
        <f>IF(T15&gt;0,1,"")</f>
      </c>
      <c r="AI15" s="150">
        <f>IF(T15&gt;0,U15,0)</f>
        <v>0</v>
      </c>
      <c r="AJ15" s="38"/>
      <c r="AK15" s="37"/>
      <c r="AL15" s="37"/>
      <c r="AM15" s="37"/>
      <c r="AP15" s="222" t="s">
        <v>138</v>
      </c>
      <c r="AQ15" s="237">
        <v>0.4</v>
      </c>
      <c r="AR15" s="245">
        <f t="shared" si="1"/>
        <v>0</v>
      </c>
      <c r="AS15" s="237">
        <v>0.6</v>
      </c>
      <c r="AT15" s="245">
        <f t="shared" si="2"/>
        <v>0</v>
      </c>
      <c r="AU15" s="236"/>
      <c r="AV15" s="237">
        <v>0.4</v>
      </c>
      <c r="AW15" s="245">
        <f t="shared" si="3"/>
        <v>0</v>
      </c>
      <c r="AX15" s="237">
        <v>0.6</v>
      </c>
      <c r="AY15" s="245">
        <f t="shared" si="4"/>
        <v>0</v>
      </c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448"/>
      <c r="GN15" s="236"/>
      <c r="GO15" s="236"/>
      <c r="GP15" s="236"/>
      <c r="GQ15" s="236"/>
      <c r="GR15" s="236"/>
      <c r="GS15" s="236"/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36"/>
      <c r="HJ15" s="236"/>
      <c r="HK15" s="236"/>
      <c r="HL15" s="236"/>
      <c r="HM15" s="236"/>
      <c r="HN15" s="236"/>
      <c r="HO15" s="236"/>
      <c r="HP15" s="236"/>
      <c r="HQ15" s="236"/>
      <c r="HR15" s="236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</row>
    <row r="16" spans="2:236" ht="12.75">
      <c r="B16" s="54"/>
      <c r="C16" s="54"/>
      <c r="D16" s="54"/>
      <c r="E16" s="54"/>
      <c r="J16" s="243"/>
      <c r="K16" s="532"/>
      <c r="L16" s="532"/>
      <c r="M16" s="7" t="s">
        <v>339</v>
      </c>
      <c r="N16" s="521"/>
      <c r="O16" s="8">
        <v>110</v>
      </c>
      <c r="P16" s="519"/>
      <c r="Q16" s="521"/>
      <c r="R16" s="8">
        <v>77</v>
      </c>
      <c r="S16" s="519"/>
      <c r="T16" s="521"/>
      <c r="U16" s="8">
        <v>11</v>
      </c>
      <c r="V16" s="519"/>
      <c r="W16" s="129"/>
      <c r="Y16" s="22"/>
      <c r="AB16" s="525"/>
      <c r="AC16" s="150">
        <f>IF(N15&gt;0,O16,0)</f>
        <v>0</v>
      </c>
      <c r="AD16" s="38"/>
      <c r="AE16" s="525"/>
      <c r="AF16" s="150">
        <f>IF(Q15&gt;0,R16,0)</f>
        <v>0</v>
      </c>
      <c r="AG16" s="38"/>
      <c r="AH16" s="525"/>
      <c r="AI16" s="150">
        <f>IF(T15&gt;0,U16,0)</f>
        <v>0</v>
      </c>
      <c r="AJ16" s="38"/>
      <c r="AK16" s="37"/>
      <c r="AL16" s="37"/>
      <c r="AM16" s="37"/>
      <c r="AO16" s="3"/>
      <c r="AP16" s="222" t="s">
        <v>139</v>
      </c>
      <c r="AQ16" s="237">
        <v>0.2</v>
      </c>
      <c r="AR16" s="245">
        <f t="shared" si="1"/>
        <v>0</v>
      </c>
      <c r="AS16" s="237">
        <v>0</v>
      </c>
      <c r="AT16" s="245">
        <f t="shared" si="2"/>
        <v>0</v>
      </c>
      <c r="AU16" s="236"/>
      <c r="AV16" s="237">
        <v>0.4</v>
      </c>
      <c r="AW16" s="245">
        <f t="shared" si="3"/>
        <v>0</v>
      </c>
      <c r="AX16" s="237">
        <v>0</v>
      </c>
      <c r="AY16" s="245">
        <f t="shared" si="4"/>
        <v>0</v>
      </c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448"/>
      <c r="GN16" s="236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6"/>
      <c r="HR16" s="236"/>
      <c r="HS16" s="236"/>
      <c r="HT16" s="236"/>
      <c r="HU16" s="236"/>
      <c r="HV16" s="236"/>
      <c r="HW16" s="236"/>
      <c r="HX16" s="236"/>
      <c r="HY16" s="236"/>
      <c r="HZ16" s="236"/>
      <c r="IA16" s="236"/>
      <c r="IB16" s="236"/>
    </row>
    <row r="17" spans="2:236" ht="12.75">
      <c r="B17" s="54">
        <f t="shared" si="5"/>
        <v>0</v>
      </c>
      <c r="C17" s="54">
        <f t="shared" si="6"/>
        <v>0</v>
      </c>
      <c r="D17" s="54">
        <f>IF(T17&gt;0,1,0)</f>
        <v>0</v>
      </c>
      <c r="E17" s="54"/>
      <c r="J17" s="243"/>
      <c r="K17" s="532"/>
      <c r="L17" s="532" t="s">
        <v>106</v>
      </c>
      <c r="M17" s="7" t="s">
        <v>338</v>
      </c>
      <c r="N17" s="520"/>
      <c r="O17" s="8">
        <v>46.75</v>
      </c>
      <c r="P17" s="519">
        <v>107.25</v>
      </c>
      <c r="Q17" s="520"/>
      <c r="R17" s="8">
        <v>38.25</v>
      </c>
      <c r="S17" s="519">
        <v>87.75</v>
      </c>
      <c r="T17" s="520"/>
      <c r="U17" s="8">
        <v>8.5</v>
      </c>
      <c r="V17" s="519">
        <v>19.5</v>
      </c>
      <c r="W17" s="129"/>
      <c r="Y17" s="22"/>
      <c r="AB17" s="525">
        <f>IF(N17&gt;0,1,"")</f>
      </c>
      <c r="AC17" s="150">
        <f>IF(N17&gt;0,O17,0)</f>
        <v>0</v>
      </c>
      <c r="AD17" s="38"/>
      <c r="AE17" s="525">
        <f t="shared" si="0"/>
      </c>
      <c r="AF17" s="150">
        <f>IF(Q17&gt;0,R17,0)</f>
        <v>0</v>
      </c>
      <c r="AG17" s="38"/>
      <c r="AH17" s="525">
        <f>IF(T17&gt;0,1,"")</f>
      </c>
      <c r="AI17" s="150">
        <f>IF(T17&gt;0,U17,0)</f>
        <v>0</v>
      </c>
      <c r="AJ17" s="38"/>
      <c r="AK17" s="37"/>
      <c r="AL17" s="37"/>
      <c r="AM17" s="37"/>
      <c r="AP17" s="222" t="s">
        <v>125</v>
      </c>
      <c r="AQ17" s="237">
        <v>0.1</v>
      </c>
      <c r="AR17" s="245">
        <f t="shared" si="1"/>
        <v>0</v>
      </c>
      <c r="AS17" s="237">
        <v>0</v>
      </c>
      <c r="AT17" s="245">
        <f t="shared" si="2"/>
        <v>0</v>
      </c>
      <c r="AU17" s="236"/>
      <c r="AV17" s="237">
        <v>0.15</v>
      </c>
      <c r="AW17" s="245">
        <f t="shared" si="3"/>
        <v>0</v>
      </c>
      <c r="AX17" s="237">
        <v>0</v>
      </c>
      <c r="AY17" s="245">
        <f t="shared" si="4"/>
        <v>0</v>
      </c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448"/>
      <c r="GN17" s="236"/>
      <c r="GO17" s="236"/>
      <c r="GP17" s="236"/>
      <c r="GQ17" s="236"/>
      <c r="GR17" s="236"/>
      <c r="GS17" s="236"/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36"/>
      <c r="HJ17" s="236"/>
      <c r="HK17" s="236"/>
      <c r="HL17" s="236"/>
      <c r="HM17" s="236"/>
      <c r="HN17" s="236"/>
      <c r="HO17" s="236"/>
      <c r="HP17" s="236"/>
      <c r="HQ17" s="236"/>
      <c r="HR17" s="236"/>
      <c r="HS17" s="236"/>
      <c r="HT17" s="236"/>
      <c r="HU17" s="236"/>
      <c r="HV17" s="236"/>
      <c r="HW17" s="236"/>
      <c r="HX17" s="236"/>
      <c r="HY17" s="236"/>
      <c r="HZ17" s="236"/>
      <c r="IA17" s="236"/>
      <c r="IB17" s="236"/>
    </row>
    <row r="18" spans="2:236" ht="12.75">
      <c r="B18" s="54"/>
      <c r="C18" s="54"/>
      <c r="D18" s="54"/>
      <c r="E18" s="54"/>
      <c r="J18" s="243"/>
      <c r="K18" s="532"/>
      <c r="L18" s="532"/>
      <c r="M18" s="7" t="s">
        <v>339</v>
      </c>
      <c r="N18" s="521"/>
      <c r="O18" s="8">
        <v>60.5</v>
      </c>
      <c r="P18" s="519"/>
      <c r="Q18" s="521"/>
      <c r="R18" s="8">
        <v>49.5</v>
      </c>
      <c r="S18" s="519"/>
      <c r="T18" s="521"/>
      <c r="U18" s="8">
        <v>11</v>
      </c>
      <c r="V18" s="519"/>
      <c r="W18" s="129"/>
      <c r="X18" s="60"/>
      <c r="Y18" s="20"/>
      <c r="AB18" s="525"/>
      <c r="AC18" s="150">
        <f>IF(N17&gt;0,O18,0)</f>
        <v>0</v>
      </c>
      <c r="AD18" s="38"/>
      <c r="AE18" s="525"/>
      <c r="AF18" s="150">
        <f>IF(Q17&gt;0,R18,0)</f>
        <v>0</v>
      </c>
      <c r="AG18" s="38"/>
      <c r="AH18" s="525"/>
      <c r="AI18" s="150">
        <f>IF(T17&gt;0,U18,0)</f>
        <v>0</v>
      </c>
      <c r="AJ18" s="38"/>
      <c r="AK18" s="37"/>
      <c r="AL18" s="37"/>
      <c r="AM18" s="37"/>
      <c r="AP18" s="222" t="s">
        <v>126</v>
      </c>
      <c r="AQ18" s="237">
        <v>0.1</v>
      </c>
      <c r="AR18" s="245">
        <f t="shared" si="1"/>
        <v>0</v>
      </c>
      <c r="AS18" s="237">
        <v>0</v>
      </c>
      <c r="AT18" s="245">
        <f t="shared" si="2"/>
        <v>0</v>
      </c>
      <c r="AU18" s="236"/>
      <c r="AV18" s="237">
        <v>0.15</v>
      </c>
      <c r="AW18" s="245">
        <f t="shared" si="3"/>
        <v>0</v>
      </c>
      <c r="AX18" s="237">
        <v>0</v>
      </c>
      <c r="AY18" s="245">
        <f t="shared" si="4"/>
        <v>0</v>
      </c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448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36"/>
      <c r="HJ18" s="236"/>
      <c r="HK18" s="236"/>
      <c r="HL18" s="236"/>
      <c r="HM18" s="236"/>
      <c r="HN18" s="236"/>
      <c r="HO18" s="236"/>
      <c r="HP18" s="236"/>
      <c r="HQ18" s="236"/>
      <c r="HR18" s="236"/>
      <c r="HS18" s="236"/>
      <c r="HT18" s="236"/>
      <c r="HU18" s="236"/>
      <c r="HV18" s="236"/>
      <c r="HW18" s="236"/>
      <c r="HX18" s="236"/>
      <c r="HY18" s="236"/>
      <c r="HZ18" s="236"/>
      <c r="IA18" s="236"/>
      <c r="IB18" s="236"/>
    </row>
    <row r="19" spans="2:236" ht="12.75" customHeight="1">
      <c r="B19" s="54">
        <f t="shared" si="5"/>
        <v>0</v>
      </c>
      <c r="C19" s="54">
        <f t="shared" si="6"/>
        <v>0</v>
      </c>
      <c r="D19" s="54">
        <f>IF(T19&gt;0,1,0)</f>
        <v>0</v>
      </c>
      <c r="E19" s="54">
        <f>IF(W19&gt;0,1,0)</f>
        <v>0</v>
      </c>
      <c r="J19" s="243"/>
      <c r="K19" s="532" t="s">
        <v>465</v>
      </c>
      <c r="L19" s="532" t="s">
        <v>105</v>
      </c>
      <c r="M19" s="7" t="s">
        <v>338</v>
      </c>
      <c r="N19" s="520"/>
      <c r="O19" s="8" t="s">
        <v>396</v>
      </c>
      <c r="P19" s="519">
        <v>224.25</v>
      </c>
      <c r="Q19" s="520"/>
      <c r="R19" s="8" t="s">
        <v>396</v>
      </c>
      <c r="S19" s="519">
        <v>224.25</v>
      </c>
      <c r="T19" s="520"/>
      <c r="U19" s="8">
        <v>29.33</v>
      </c>
      <c r="V19" s="519">
        <v>67.28</v>
      </c>
      <c r="W19" s="520"/>
      <c r="X19" s="8">
        <v>19.55</v>
      </c>
      <c r="Y19" s="519">
        <v>44.85</v>
      </c>
      <c r="AB19" s="525">
        <f>IF(N19&gt;0,1,"")</f>
      </c>
      <c r="AC19" s="150">
        <f>IF(N19&gt;0,O19,0)</f>
        <v>0</v>
      </c>
      <c r="AD19" s="38"/>
      <c r="AE19" s="525">
        <f t="shared" si="0"/>
      </c>
      <c r="AF19" s="150">
        <f>IF(Q19&gt;0,R19,0)</f>
        <v>0</v>
      </c>
      <c r="AG19" s="38"/>
      <c r="AH19" s="525">
        <f>IF(T19&gt;0,1,"")</f>
      </c>
      <c r="AI19" s="150">
        <f>IF(T19&gt;0,U19,0)</f>
        <v>0</v>
      </c>
      <c r="AJ19" s="38"/>
      <c r="AK19" s="525">
        <f>IF(W19&gt;0,1,"")</f>
      </c>
      <c r="AL19" s="150">
        <f>IF(W19&gt;0,X19,0)</f>
        <v>0</v>
      </c>
      <c r="AM19" s="37"/>
      <c r="AP19" s="222" t="s">
        <v>127</v>
      </c>
      <c r="AQ19" s="237" t="s">
        <v>61</v>
      </c>
      <c r="AR19" s="245">
        <f t="shared" si="1"/>
        <v>0</v>
      </c>
      <c r="AS19" s="237">
        <v>0</v>
      </c>
      <c r="AT19" s="245">
        <f t="shared" si="2"/>
        <v>0</v>
      </c>
      <c r="AU19" s="236"/>
      <c r="AV19" s="237">
        <v>0.15</v>
      </c>
      <c r="AW19" s="245">
        <f t="shared" si="3"/>
        <v>0</v>
      </c>
      <c r="AX19" s="237">
        <v>0</v>
      </c>
      <c r="AY19" s="245">
        <f t="shared" si="4"/>
        <v>0</v>
      </c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448"/>
      <c r="GN19" s="236"/>
      <c r="GO19" s="236"/>
      <c r="GP19" s="236"/>
      <c r="GQ19" s="236"/>
      <c r="GR19" s="236"/>
      <c r="GS19" s="236"/>
      <c r="GT19" s="236"/>
      <c r="GU19" s="236"/>
      <c r="GV19" s="236"/>
      <c r="GW19" s="236"/>
      <c r="GX19" s="236"/>
      <c r="GY19" s="236"/>
      <c r="GZ19" s="236"/>
      <c r="HA19" s="236"/>
      <c r="HB19" s="236"/>
      <c r="HC19" s="236"/>
      <c r="HD19" s="236"/>
      <c r="HE19" s="236"/>
      <c r="HF19" s="236"/>
      <c r="HG19" s="236"/>
      <c r="HH19" s="236"/>
      <c r="HI19" s="236"/>
      <c r="HJ19" s="236"/>
      <c r="HK19" s="236"/>
      <c r="HL19" s="236"/>
      <c r="HM19" s="236"/>
      <c r="HN19" s="236"/>
      <c r="HO19" s="236"/>
      <c r="HP19" s="236"/>
      <c r="HQ19" s="236"/>
      <c r="HR19" s="236"/>
      <c r="HS19" s="236"/>
      <c r="HT19" s="236"/>
      <c r="HU19" s="236"/>
      <c r="HV19" s="236"/>
      <c r="HW19" s="236"/>
      <c r="HX19" s="236"/>
      <c r="HY19" s="236"/>
      <c r="HZ19" s="236"/>
      <c r="IA19" s="236"/>
      <c r="IB19" s="236"/>
    </row>
    <row r="20" spans="2:236" ht="12" customHeight="1">
      <c r="B20" s="54"/>
      <c r="C20" s="54"/>
      <c r="D20" s="54"/>
      <c r="E20" s="54"/>
      <c r="J20" s="243"/>
      <c r="K20" s="532"/>
      <c r="L20" s="532"/>
      <c r="M20" s="7" t="s">
        <v>339</v>
      </c>
      <c r="N20" s="521"/>
      <c r="O20" s="8">
        <v>126.5</v>
      </c>
      <c r="P20" s="519"/>
      <c r="Q20" s="521"/>
      <c r="R20" s="8">
        <v>126.5</v>
      </c>
      <c r="S20" s="519"/>
      <c r="T20" s="521"/>
      <c r="U20" s="8">
        <v>37.95</v>
      </c>
      <c r="V20" s="519"/>
      <c r="W20" s="521"/>
      <c r="X20" s="8">
        <v>25.3</v>
      </c>
      <c r="Y20" s="519"/>
      <c r="AB20" s="525"/>
      <c r="AC20" s="150">
        <f>IF(N19&gt;0,O20,0)</f>
        <v>0</v>
      </c>
      <c r="AD20" s="38"/>
      <c r="AE20" s="525"/>
      <c r="AF20" s="150">
        <f>IF(Q19&gt;0,R20,0)</f>
        <v>0</v>
      </c>
      <c r="AG20" s="38"/>
      <c r="AH20" s="525"/>
      <c r="AI20" s="150">
        <f>IF(T19&gt;0,U20,0)</f>
        <v>0</v>
      </c>
      <c r="AJ20" s="38"/>
      <c r="AK20" s="525"/>
      <c r="AL20" s="150">
        <f>IF(W19&gt;0,X20,0)</f>
        <v>0</v>
      </c>
      <c r="AM20" s="37"/>
      <c r="AP20" s="222" t="s">
        <v>128</v>
      </c>
      <c r="AQ20" s="237">
        <v>0</v>
      </c>
      <c r="AR20" s="245">
        <f t="shared" si="1"/>
        <v>0</v>
      </c>
      <c r="AS20" s="237">
        <v>0</v>
      </c>
      <c r="AT20" s="245">
        <f t="shared" si="2"/>
        <v>0</v>
      </c>
      <c r="AU20" s="236"/>
      <c r="AV20" s="237">
        <v>0</v>
      </c>
      <c r="AW20" s="245">
        <f t="shared" si="3"/>
        <v>0</v>
      </c>
      <c r="AX20" s="237">
        <v>0</v>
      </c>
      <c r="AY20" s="245">
        <f t="shared" si="4"/>
        <v>0</v>
      </c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448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</row>
    <row r="21" spans="2:236" ht="12.75">
      <c r="B21" s="54">
        <f t="shared" si="5"/>
        <v>0</v>
      </c>
      <c r="C21" s="54">
        <f t="shared" si="6"/>
        <v>0</v>
      </c>
      <c r="D21" s="54">
        <f>IF(T21&gt;0,1,0)</f>
        <v>0</v>
      </c>
      <c r="E21" s="54">
        <f>IF(W21&gt;0,1,0)</f>
        <v>0</v>
      </c>
      <c r="J21" s="243"/>
      <c r="K21" s="532"/>
      <c r="L21" s="532" t="s">
        <v>107</v>
      </c>
      <c r="M21" s="7" t="s">
        <v>338</v>
      </c>
      <c r="N21" s="520"/>
      <c r="O21" s="8" t="s">
        <v>396</v>
      </c>
      <c r="P21" s="519">
        <v>224.25</v>
      </c>
      <c r="Q21" s="520"/>
      <c r="R21" s="8" t="s">
        <v>396</v>
      </c>
      <c r="S21" s="519">
        <v>224.25</v>
      </c>
      <c r="T21" s="520"/>
      <c r="U21" s="8">
        <v>29.33</v>
      </c>
      <c r="V21" s="519">
        <v>67.28</v>
      </c>
      <c r="W21" s="520"/>
      <c r="X21" s="8">
        <v>19.55</v>
      </c>
      <c r="Y21" s="519">
        <v>44.85</v>
      </c>
      <c r="AB21" s="525">
        <f>IF(N21&gt;0,1,"")</f>
      </c>
      <c r="AC21" s="150">
        <f>IF(N21&gt;0,O21,0)</f>
        <v>0</v>
      </c>
      <c r="AD21" s="38"/>
      <c r="AE21" s="525">
        <f t="shared" si="0"/>
      </c>
      <c r="AF21" s="150">
        <f>IF(Q21&gt;0,R21,0)</f>
        <v>0</v>
      </c>
      <c r="AG21" s="38"/>
      <c r="AH21" s="525">
        <f>IF(T21&gt;0,1,"")</f>
      </c>
      <c r="AI21" s="150">
        <f>IF(T21&gt;0,U21,0)</f>
        <v>0</v>
      </c>
      <c r="AJ21" s="38"/>
      <c r="AK21" s="525">
        <f>IF(W21&gt;0,1,"")</f>
      </c>
      <c r="AL21" s="150">
        <f>IF(W21&gt;0,X21,0)</f>
        <v>0</v>
      </c>
      <c r="AM21" s="37"/>
      <c r="AO21" s="335"/>
      <c r="AP21" s="222" t="s">
        <v>129</v>
      </c>
      <c r="AQ21" s="237">
        <v>0.4</v>
      </c>
      <c r="AR21" s="245">
        <f t="shared" si="1"/>
        <v>0</v>
      </c>
      <c r="AS21" s="237">
        <v>0.6</v>
      </c>
      <c r="AT21" s="245">
        <f t="shared" si="2"/>
        <v>0</v>
      </c>
      <c r="AU21" s="236"/>
      <c r="AV21" s="237">
        <v>0.4</v>
      </c>
      <c r="AW21" s="245">
        <f t="shared" si="3"/>
        <v>0</v>
      </c>
      <c r="AX21" s="237">
        <v>0.6</v>
      </c>
      <c r="AY21" s="245">
        <f t="shared" si="4"/>
        <v>0</v>
      </c>
      <c r="AZ21" s="360"/>
      <c r="BA21" s="360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448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</row>
    <row r="22" spans="2:236" ht="12.75">
      <c r="B22" s="54"/>
      <c r="C22" s="54"/>
      <c r="D22" s="54"/>
      <c r="E22" s="54"/>
      <c r="J22" s="243"/>
      <c r="K22" s="532"/>
      <c r="L22" s="532"/>
      <c r="M22" s="7" t="s">
        <v>339</v>
      </c>
      <c r="N22" s="521"/>
      <c r="O22" s="8">
        <v>126.5</v>
      </c>
      <c r="P22" s="519"/>
      <c r="Q22" s="521"/>
      <c r="R22" s="8">
        <v>126.5</v>
      </c>
      <c r="S22" s="519"/>
      <c r="T22" s="521"/>
      <c r="U22" s="8">
        <v>37.95</v>
      </c>
      <c r="V22" s="519"/>
      <c r="W22" s="521"/>
      <c r="X22" s="8">
        <v>25.3</v>
      </c>
      <c r="Y22" s="519"/>
      <c r="AB22" s="525"/>
      <c r="AC22" s="150">
        <f>IF(N21&gt;0,O22,0)</f>
        <v>0</v>
      </c>
      <c r="AD22" s="38"/>
      <c r="AE22" s="525"/>
      <c r="AF22" s="150">
        <f>IF(Q21&gt;0,R22,0)</f>
        <v>0</v>
      </c>
      <c r="AG22" s="38"/>
      <c r="AH22" s="525"/>
      <c r="AI22" s="150">
        <f>IF(T21&gt;0,U22,0)</f>
        <v>0</v>
      </c>
      <c r="AJ22" s="38"/>
      <c r="AK22" s="525"/>
      <c r="AL22" s="150">
        <f>IF(W21&gt;0,X22,0)</f>
        <v>0</v>
      </c>
      <c r="AM22" s="37"/>
      <c r="AP22" s="222" t="s">
        <v>130</v>
      </c>
      <c r="AQ22" s="237">
        <v>0.4</v>
      </c>
      <c r="AR22" s="245">
        <f t="shared" si="1"/>
        <v>0</v>
      </c>
      <c r="AS22" s="237">
        <v>0.6</v>
      </c>
      <c r="AT22" s="245">
        <f t="shared" si="2"/>
        <v>0</v>
      </c>
      <c r="AU22" s="236"/>
      <c r="AV22" s="237">
        <v>0.4</v>
      </c>
      <c r="AW22" s="245">
        <f t="shared" si="3"/>
        <v>0</v>
      </c>
      <c r="AX22" s="237">
        <v>0.6</v>
      </c>
      <c r="AY22" s="245">
        <f t="shared" si="4"/>
        <v>0</v>
      </c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448"/>
      <c r="GN22" s="236"/>
      <c r="GO22" s="236"/>
      <c r="GP22" s="236"/>
      <c r="GQ22" s="236"/>
      <c r="GR22" s="236"/>
      <c r="GS22" s="236"/>
      <c r="GT22" s="236"/>
      <c r="GU22" s="236"/>
      <c r="GV22" s="236"/>
      <c r="GW22" s="236"/>
      <c r="GX22" s="236"/>
      <c r="GY22" s="236"/>
      <c r="GZ22" s="236"/>
      <c r="HA22" s="236"/>
      <c r="HB22" s="236"/>
      <c r="HC22" s="236"/>
      <c r="HD22" s="236"/>
      <c r="HE22" s="236"/>
      <c r="HF22" s="236"/>
      <c r="HG22" s="236"/>
      <c r="HH22" s="236"/>
      <c r="HI22" s="236"/>
      <c r="HJ22" s="236"/>
      <c r="HK22" s="236"/>
      <c r="HL22" s="236"/>
      <c r="HM22" s="236"/>
      <c r="HN22" s="236"/>
      <c r="HO22" s="236"/>
      <c r="HP22" s="236"/>
      <c r="HQ22" s="236"/>
      <c r="HR22" s="236"/>
      <c r="HS22" s="236"/>
      <c r="HT22" s="236"/>
      <c r="HU22" s="236"/>
      <c r="HV22" s="236"/>
      <c r="HW22" s="236"/>
      <c r="HX22" s="236"/>
      <c r="HY22" s="236"/>
      <c r="HZ22" s="236"/>
      <c r="IA22" s="236"/>
      <c r="IB22" s="236"/>
    </row>
    <row r="23" spans="2:236" ht="12.75">
      <c r="B23" s="54">
        <f t="shared" si="5"/>
        <v>0</v>
      </c>
      <c r="C23" s="54">
        <f t="shared" si="6"/>
        <v>0</v>
      </c>
      <c r="D23" s="54">
        <f>IF(T23&gt;0,1,0)</f>
        <v>0</v>
      </c>
      <c r="E23" s="54">
        <f>IF(W23&gt;0,1,0)</f>
        <v>0</v>
      </c>
      <c r="J23" s="243"/>
      <c r="K23" s="532"/>
      <c r="L23" s="532" t="s">
        <v>106</v>
      </c>
      <c r="M23" s="7" t="s">
        <v>338</v>
      </c>
      <c r="N23" s="520"/>
      <c r="O23" s="8">
        <v>58.65</v>
      </c>
      <c r="P23" s="529">
        <v>134.55</v>
      </c>
      <c r="Q23" s="520"/>
      <c r="R23" s="8">
        <v>48.88</v>
      </c>
      <c r="S23" s="519">
        <v>112.13</v>
      </c>
      <c r="T23" s="520"/>
      <c r="U23" s="8">
        <v>29.33</v>
      </c>
      <c r="V23" s="519">
        <v>67.28</v>
      </c>
      <c r="W23" s="520"/>
      <c r="X23" s="8">
        <v>19.55</v>
      </c>
      <c r="Y23" s="519">
        <v>44.85</v>
      </c>
      <c r="AB23" s="525">
        <f>IF(N23&gt;0,1,"")</f>
      </c>
      <c r="AC23" s="150">
        <f>IF(N23&gt;0,O23,0)</f>
        <v>0</v>
      </c>
      <c r="AD23" s="38"/>
      <c r="AE23" s="525">
        <f t="shared" si="0"/>
      </c>
      <c r="AF23" s="150">
        <f>IF(Q23&gt;0,R23,0)</f>
        <v>0</v>
      </c>
      <c r="AG23" s="38"/>
      <c r="AH23" s="525">
        <f>IF(T23&gt;0,1,"")</f>
      </c>
      <c r="AI23" s="150">
        <f>IF(T23&gt;0,U23,0)</f>
        <v>0</v>
      </c>
      <c r="AJ23" s="38"/>
      <c r="AK23" s="525">
        <f>IF(W23&gt;0,1,"")</f>
      </c>
      <c r="AL23" s="150">
        <f>IF(W23&gt;0,X23,0)</f>
        <v>0</v>
      </c>
      <c r="AM23" s="37"/>
      <c r="AP23" s="222">
        <v>6</v>
      </c>
      <c r="AQ23" s="237">
        <v>0.4</v>
      </c>
      <c r="AR23" s="245">
        <f t="shared" si="1"/>
        <v>0</v>
      </c>
      <c r="AS23" s="237">
        <v>0.6</v>
      </c>
      <c r="AT23" s="245">
        <f t="shared" si="2"/>
        <v>0</v>
      </c>
      <c r="AU23" s="236"/>
      <c r="AV23" s="237">
        <v>0.4</v>
      </c>
      <c r="AW23" s="245">
        <f t="shared" si="3"/>
        <v>0</v>
      </c>
      <c r="AX23" s="237">
        <v>0.6</v>
      </c>
      <c r="AY23" s="245">
        <f t="shared" si="4"/>
        <v>0</v>
      </c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448"/>
      <c r="GN23" s="236"/>
      <c r="GO23" s="236"/>
      <c r="GP23" s="236"/>
      <c r="GQ23" s="236"/>
      <c r="GR23" s="236"/>
      <c r="GS23" s="236"/>
      <c r="GT23" s="236"/>
      <c r="GU23" s="236"/>
      <c r="GV23" s="236"/>
      <c r="GW23" s="236"/>
      <c r="GX23" s="236"/>
      <c r="GY23" s="236"/>
      <c r="GZ23" s="236"/>
      <c r="HA23" s="236"/>
      <c r="HB23" s="236"/>
      <c r="HC23" s="236"/>
      <c r="HD23" s="236"/>
      <c r="HE23" s="236"/>
      <c r="HF23" s="236"/>
      <c r="HG23" s="236"/>
      <c r="HH23" s="236"/>
      <c r="HI23" s="236"/>
      <c r="HJ23" s="236"/>
      <c r="HK23" s="236"/>
      <c r="HL23" s="236"/>
      <c r="HM23" s="236"/>
      <c r="HN23" s="236"/>
      <c r="HO23" s="236"/>
      <c r="HP23" s="236"/>
      <c r="HQ23" s="236"/>
      <c r="HR23" s="236"/>
      <c r="HS23" s="236"/>
      <c r="HT23" s="236"/>
      <c r="HU23" s="236"/>
      <c r="HV23" s="236"/>
      <c r="HW23" s="236"/>
      <c r="HX23" s="236"/>
      <c r="HY23" s="236"/>
      <c r="HZ23" s="236"/>
      <c r="IA23" s="236"/>
      <c r="IB23" s="236"/>
    </row>
    <row r="24" spans="2:236" ht="12.75">
      <c r="B24" s="54"/>
      <c r="C24" s="54"/>
      <c r="D24" s="54"/>
      <c r="E24" s="54"/>
      <c r="J24" s="243"/>
      <c r="K24" s="532"/>
      <c r="L24" s="532"/>
      <c r="M24" s="7" t="s">
        <v>339</v>
      </c>
      <c r="N24" s="521"/>
      <c r="O24" s="8">
        <v>75.9</v>
      </c>
      <c r="P24" s="530"/>
      <c r="Q24" s="521"/>
      <c r="R24" s="8">
        <v>63.25</v>
      </c>
      <c r="S24" s="519"/>
      <c r="T24" s="521"/>
      <c r="U24" s="8">
        <v>37.95</v>
      </c>
      <c r="V24" s="519"/>
      <c r="W24" s="521"/>
      <c r="X24" s="8">
        <v>25.3</v>
      </c>
      <c r="Y24" s="519"/>
      <c r="AB24" s="525"/>
      <c r="AC24" s="150">
        <f>IF(N23&gt;0,O24,0)</f>
        <v>0</v>
      </c>
      <c r="AD24" s="38"/>
      <c r="AE24" s="525"/>
      <c r="AF24" s="150">
        <f>IF(Q23&gt;0,R24,0)</f>
        <v>0</v>
      </c>
      <c r="AG24" s="38"/>
      <c r="AH24" s="525"/>
      <c r="AI24" s="150">
        <f>IF(T23&gt;0,U24,0)</f>
        <v>0</v>
      </c>
      <c r="AJ24" s="38"/>
      <c r="AK24" s="525"/>
      <c r="AL24" s="150">
        <f>IF(W23&gt;0,X24,0)</f>
        <v>0</v>
      </c>
      <c r="AM24" s="37"/>
      <c r="AO24" s="3"/>
      <c r="AP24" s="222" t="s">
        <v>141</v>
      </c>
      <c r="AQ24" s="237">
        <v>0</v>
      </c>
      <c r="AR24" s="245">
        <f t="shared" si="1"/>
        <v>0</v>
      </c>
      <c r="AS24" s="237">
        <v>0</v>
      </c>
      <c r="AT24" s="245">
        <f t="shared" si="2"/>
        <v>0</v>
      </c>
      <c r="AU24" s="236"/>
      <c r="AV24" s="237">
        <v>0</v>
      </c>
      <c r="AW24" s="245">
        <f t="shared" si="3"/>
        <v>0</v>
      </c>
      <c r="AX24" s="237">
        <v>0</v>
      </c>
      <c r="AY24" s="245">
        <f t="shared" si="4"/>
        <v>0</v>
      </c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448"/>
      <c r="GN24" s="236"/>
      <c r="GO24" s="236"/>
      <c r="GP24" s="236"/>
      <c r="GQ24" s="236"/>
      <c r="GR24" s="236"/>
      <c r="GS24" s="236"/>
      <c r="GT24" s="236"/>
      <c r="GU24" s="236"/>
      <c r="GV24" s="236"/>
      <c r="GW24" s="236"/>
      <c r="GX24" s="236"/>
      <c r="GY24" s="236"/>
      <c r="GZ24" s="236"/>
      <c r="HA24" s="236"/>
      <c r="HB24" s="236"/>
      <c r="HC24" s="236"/>
      <c r="HD24" s="236"/>
      <c r="HE24" s="236"/>
      <c r="HF24" s="236"/>
      <c r="HG24" s="236"/>
      <c r="HH24" s="236"/>
      <c r="HI24" s="236"/>
      <c r="HJ24" s="236"/>
      <c r="HK24" s="236"/>
      <c r="HL24" s="236"/>
      <c r="HM24" s="236"/>
      <c r="HN24" s="236"/>
      <c r="HO24" s="236"/>
      <c r="HP24" s="236"/>
      <c r="HQ24" s="236"/>
      <c r="HR24" s="236"/>
      <c r="HS24" s="236"/>
      <c r="HT24" s="236"/>
      <c r="HU24" s="236"/>
      <c r="HV24" s="236"/>
      <c r="HW24" s="236"/>
      <c r="HX24" s="236"/>
      <c r="HY24" s="236"/>
      <c r="HZ24" s="236"/>
      <c r="IA24" s="236"/>
      <c r="IB24" s="236"/>
    </row>
    <row r="25" spans="2:236" ht="12.75" customHeight="1">
      <c r="B25" s="54">
        <f t="shared" si="5"/>
        <v>0</v>
      </c>
      <c r="C25" s="54">
        <f t="shared" si="6"/>
        <v>0</v>
      </c>
      <c r="D25" s="54">
        <f>IF(T25&gt;0,1,0)</f>
        <v>0</v>
      </c>
      <c r="E25" s="54"/>
      <c r="J25" s="243"/>
      <c r="K25" s="532" t="s">
        <v>464</v>
      </c>
      <c r="L25" s="532" t="s">
        <v>105</v>
      </c>
      <c r="M25" s="7" t="s">
        <v>338</v>
      </c>
      <c r="N25" s="520"/>
      <c r="O25" s="8">
        <v>24</v>
      </c>
      <c r="P25" s="519">
        <v>31</v>
      </c>
      <c r="Q25" s="520"/>
      <c r="R25" s="8">
        <v>24</v>
      </c>
      <c r="S25" s="519">
        <v>31</v>
      </c>
      <c r="T25" s="520"/>
      <c r="U25" s="8">
        <v>7.2</v>
      </c>
      <c r="V25" s="519">
        <v>9.3</v>
      </c>
      <c r="W25" s="129"/>
      <c r="X25" s="3"/>
      <c r="Y25" s="193"/>
      <c r="AB25" s="525">
        <f>IF(N25&gt;0,1,"")</f>
      </c>
      <c r="AC25" s="150">
        <f>IF(N25&gt;0,O25,0)</f>
        <v>0</v>
      </c>
      <c r="AD25" s="38"/>
      <c r="AE25" s="525">
        <f t="shared" si="0"/>
      </c>
      <c r="AF25" s="150">
        <f>IF(Q25&gt;0,R25,0)</f>
        <v>0</v>
      </c>
      <c r="AG25" s="38"/>
      <c r="AH25" s="525">
        <f>IF(T25&gt;0,1,"")</f>
      </c>
      <c r="AI25" s="150">
        <f>IF(T25&gt;0,U25,0)</f>
        <v>0</v>
      </c>
      <c r="AJ25" s="38"/>
      <c r="AK25" s="37"/>
      <c r="AL25" s="37"/>
      <c r="AM25" s="37"/>
      <c r="AO25" s="3"/>
      <c r="AP25" s="222" t="s">
        <v>142</v>
      </c>
      <c r="AQ25" s="237">
        <v>0</v>
      </c>
      <c r="AR25" s="245">
        <f t="shared" si="1"/>
        <v>0</v>
      </c>
      <c r="AS25" s="237">
        <v>0</v>
      </c>
      <c r="AT25" s="245">
        <f t="shared" si="2"/>
        <v>0</v>
      </c>
      <c r="AU25" s="236"/>
      <c r="AV25" s="237">
        <v>0</v>
      </c>
      <c r="AW25" s="245">
        <f t="shared" si="3"/>
        <v>0</v>
      </c>
      <c r="AX25" s="237">
        <v>0</v>
      </c>
      <c r="AY25" s="245">
        <f t="shared" si="4"/>
        <v>0</v>
      </c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448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</row>
    <row r="26" spans="2:236" ht="12.75" customHeight="1">
      <c r="B26" s="54"/>
      <c r="C26" s="54"/>
      <c r="D26" s="54"/>
      <c r="E26" s="54"/>
      <c r="J26" s="243"/>
      <c r="K26" s="532"/>
      <c r="L26" s="532"/>
      <c r="M26" s="7" t="s">
        <v>339</v>
      </c>
      <c r="N26" s="521"/>
      <c r="O26" s="8">
        <v>7</v>
      </c>
      <c r="P26" s="519"/>
      <c r="Q26" s="521"/>
      <c r="R26" s="8">
        <v>7</v>
      </c>
      <c r="S26" s="519"/>
      <c r="T26" s="521"/>
      <c r="U26" s="8">
        <v>2.1</v>
      </c>
      <c r="V26" s="519"/>
      <c r="W26" s="129"/>
      <c r="X26" s="3"/>
      <c r="Y26" s="92"/>
      <c r="AB26" s="525"/>
      <c r="AC26" s="150">
        <f>IF(N25&gt;0,O26,0)</f>
        <v>0</v>
      </c>
      <c r="AD26" s="38"/>
      <c r="AE26" s="525"/>
      <c r="AF26" s="150">
        <f>IF(Q25&gt;0,R26,0)</f>
        <v>0</v>
      </c>
      <c r="AG26" s="38"/>
      <c r="AH26" s="525"/>
      <c r="AI26" s="150">
        <f>IF(T25&gt;0,U26,0)</f>
        <v>0</v>
      </c>
      <c r="AJ26" s="38"/>
      <c r="AK26" s="37"/>
      <c r="AL26" s="37"/>
      <c r="AM26" s="37"/>
      <c r="AP26" s="222" t="s">
        <v>143</v>
      </c>
      <c r="AQ26" s="237">
        <v>0</v>
      </c>
      <c r="AR26" s="245">
        <f t="shared" si="1"/>
        <v>0</v>
      </c>
      <c r="AS26" s="237">
        <v>0</v>
      </c>
      <c r="AT26" s="245">
        <f t="shared" si="2"/>
        <v>0</v>
      </c>
      <c r="AU26" s="236"/>
      <c r="AV26" s="237">
        <v>0</v>
      </c>
      <c r="AW26" s="245">
        <f t="shared" si="3"/>
        <v>0</v>
      </c>
      <c r="AX26" s="237">
        <v>0</v>
      </c>
      <c r="AY26" s="245">
        <f t="shared" si="4"/>
        <v>0</v>
      </c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448"/>
      <c r="GN26" s="236"/>
      <c r="GO26" s="236"/>
      <c r="GP26" s="236"/>
      <c r="GQ26" s="236"/>
      <c r="GR26" s="236"/>
      <c r="GS26" s="236"/>
      <c r="GT26" s="236"/>
      <c r="GU26" s="236"/>
      <c r="GV26" s="236"/>
      <c r="GW26" s="236"/>
      <c r="GX26" s="236"/>
      <c r="GY26" s="236"/>
      <c r="GZ26" s="236"/>
      <c r="HA26" s="236"/>
      <c r="HB26" s="236"/>
      <c r="HC26" s="236"/>
      <c r="HD26" s="236"/>
      <c r="HE26" s="236"/>
      <c r="HF26" s="236"/>
      <c r="HG26" s="236"/>
      <c r="HH26" s="236"/>
      <c r="HI26" s="236"/>
      <c r="HJ26" s="236"/>
      <c r="HK26" s="236"/>
      <c r="HL26" s="236"/>
      <c r="HM26" s="236"/>
      <c r="HN26" s="236"/>
      <c r="HO26" s="236"/>
      <c r="HP26" s="236"/>
      <c r="HQ26" s="236"/>
      <c r="HR26" s="236"/>
      <c r="HS26" s="236"/>
      <c r="HT26" s="236"/>
      <c r="HU26" s="236"/>
      <c r="HV26" s="236"/>
      <c r="HW26" s="236"/>
      <c r="HX26" s="236"/>
      <c r="HY26" s="236"/>
      <c r="HZ26" s="236"/>
      <c r="IA26" s="236"/>
      <c r="IB26" s="236"/>
    </row>
    <row r="27" spans="2:236" ht="12.75">
      <c r="B27" s="54">
        <f t="shared" si="5"/>
        <v>0</v>
      </c>
      <c r="C27" s="54">
        <f t="shared" si="6"/>
        <v>0</v>
      </c>
      <c r="D27" s="54">
        <f>IF(T27&gt;0,1,0)</f>
        <v>0</v>
      </c>
      <c r="E27" s="54"/>
      <c r="J27" s="243"/>
      <c r="K27" s="532"/>
      <c r="L27" s="532" t="s">
        <v>107</v>
      </c>
      <c r="M27" s="7" t="s">
        <v>338</v>
      </c>
      <c r="N27" s="520"/>
      <c r="O27" s="8">
        <v>24</v>
      </c>
      <c r="P27" s="519">
        <v>31</v>
      </c>
      <c r="Q27" s="520"/>
      <c r="R27" s="8">
        <v>24</v>
      </c>
      <c r="S27" s="519">
        <v>31</v>
      </c>
      <c r="T27" s="520"/>
      <c r="U27" s="8">
        <v>7.2</v>
      </c>
      <c r="V27" s="519">
        <v>9.3</v>
      </c>
      <c r="W27" s="129"/>
      <c r="Y27" s="22"/>
      <c r="AB27" s="525">
        <f>IF(N27&gt;0,1,"")</f>
      </c>
      <c r="AC27" s="150">
        <f>IF(N27&gt;0,O27,0)</f>
        <v>0</v>
      </c>
      <c r="AD27" s="38"/>
      <c r="AE27" s="525">
        <f t="shared" si="0"/>
      </c>
      <c r="AF27" s="150">
        <f>IF(Q27&gt;0,R27,0)</f>
        <v>0</v>
      </c>
      <c r="AG27" s="38"/>
      <c r="AH27" s="525">
        <f>IF(T27&gt;0,1,"")</f>
      </c>
      <c r="AI27" s="150">
        <f>IF(T27&gt;0,U27,0)</f>
        <v>0</v>
      </c>
      <c r="AJ27" s="38"/>
      <c r="AK27" s="37"/>
      <c r="AL27" s="37"/>
      <c r="AM27" s="37"/>
      <c r="AP27" s="222" t="s">
        <v>144</v>
      </c>
      <c r="AQ27" s="237">
        <v>0</v>
      </c>
      <c r="AR27" s="245">
        <f t="shared" si="1"/>
        <v>0</v>
      </c>
      <c r="AS27" s="237">
        <v>0</v>
      </c>
      <c r="AT27" s="245">
        <f t="shared" si="2"/>
        <v>0</v>
      </c>
      <c r="AU27" s="236"/>
      <c r="AV27" s="237">
        <v>0</v>
      </c>
      <c r="AW27" s="245">
        <f t="shared" si="3"/>
        <v>0</v>
      </c>
      <c r="AX27" s="237">
        <v>0</v>
      </c>
      <c r="AY27" s="245">
        <f t="shared" si="4"/>
        <v>0</v>
      </c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448"/>
      <c r="GN27" s="236"/>
      <c r="GO27" s="236"/>
      <c r="GP27" s="236"/>
      <c r="GQ27" s="236"/>
      <c r="GR27" s="236"/>
      <c r="GS27" s="236"/>
      <c r="GT27" s="236"/>
      <c r="GU27" s="236"/>
      <c r="GV27" s="236"/>
      <c r="GW27" s="236"/>
      <c r="GX27" s="236"/>
      <c r="GY27" s="236"/>
      <c r="GZ27" s="236"/>
      <c r="HA27" s="236"/>
      <c r="HB27" s="236"/>
      <c r="HC27" s="236"/>
      <c r="HD27" s="236"/>
      <c r="HE27" s="236"/>
      <c r="HF27" s="236"/>
      <c r="HG27" s="236"/>
      <c r="HH27" s="236"/>
      <c r="HI27" s="236"/>
      <c r="HJ27" s="236"/>
      <c r="HK27" s="236"/>
      <c r="HL27" s="236"/>
      <c r="HM27" s="236"/>
      <c r="HN27" s="236"/>
      <c r="HO27" s="236"/>
      <c r="HP27" s="236"/>
      <c r="HQ27" s="236"/>
      <c r="HR27" s="236"/>
      <c r="HS27" s="236"/>
      <c r="HT27" s="236"/>
      <c r="HU27" s="236"/>
      <c r="HV27" s="236"/>
      <c r="HW27" s="236"/>
      <c r="HX27" s="236"/>
      <c r="HY27" s="236"/>
      <c r="HZ27" s="236"/>
      <c r="IA27" s="236"/>
      <c r="IB27" s="236"/>
    </row>
    <row r="28" spans="2:236" ht="12.75">
      <c r="B28" s="54"/>
      <c r="C28" s="54"/>
      <c r="D28" s="54"/>
      <c r="E28" s="54"/>
      <c r="J28" s="243"/>
      <c r="K28" s="532"/>
      <c r="L28" s="532"/>
      <c r="M28" s="7" t="s">
        <v>339</v>
      </c>
      <c r="N28" s="521"/>
      <c r="O28" s="8">
        <v>7</v>
      </c>
      <c r="P28" s="519"/>
      <c r="Q28" s="521"/>
      <c r="R28" s="8">
        <v>7</v>
      </c>
      <c r="S28" s="519"/>
      <c r="T28" s="521"/>
      <c r="U28" s="8">
        <v>2.1</v>
      </c>
      <c r="V28" s="519"/>
      <c r="W28" s="129"/>
      <c r="Y28" s="22"/>
      <c r="AB28" s="525"/>
      <c r="AC28" s="150">
        <f>IF(N27&gt;0,O28,0)</f>
        <v>0</v>
      </c>
      <c r="AD28" s="38"/>
      <c r="AE28" s="525"/>
      <c r="AF28" s="150">
        <f>IF(Q27&gt;0,R28,0)</f>
        <v>0</v>
      </c>
      <c r="AG28" s="38"/>
      <c r="AH28" s="525"/>
      <c r="AI28" s="150">
        <f>IF(T27&gt;0,U28,0)</f>
        <v>0</v>
      </c>
      <c r="AJ28" s="38"/>
      <c r="AK28" s="37"/>
      <c r="AL28" s="37"/>
      <c r="AM28" s="37"/>
      <c r="AP28" s="222" t="s">
        <v>131</v>
      </c>
      <c r="AQ28" s="237">
        <v>0.4</v>
      </c>
      <c r="AR28" s="245">
        <f t="shared" si="1"/>
        <v>0</v>
      </c>
      <c r="AS28" s="237">
        <v>0.6</v>
      </c>
      <c r="AT28" s="245">
        <f t="shared" si="2"/>
        <v>0</v>
      </c>
      <c r="AU28" s="236"/>
      <c r="AV28" s="237">
        <v>0.4</v>
      </c>
      <c r="AW28" s="245">
        <f t="shared" si="3"/>
        <v>0</v>
      </c>
      <c r="AX28" s="237">
        <v>0.6</v>
      </c>
      <c r="AY28" s="245">
        <f t="shared" si="4"/>
        <v>0</v>
      </c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448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36"/>
      <c r="HK28" s="236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6"/>
      <c r="HW28" s="236"/>
      <c r="HX28" s="236"/>
      <c r="HY28" s="236"/>
      <c r="HZ28" s="236"/>
      <c r="IA28" s="236"/>
      <c r="IB28" s="236"/>
    </row>
    <row r="29" spans="2:236" ht="12.75">
      <c r="B29" s="54">
        <f t="shared" si="5"/>
        <v>0</v>
      </c>
      <c r="C29" s="54">
        <f t="shared" si="6"/>
        <v>0</v>
      </c>
      <c r="D29" s="54">
        <f>IF(T29&gt;0,1,0)</f>
        <v>0</v>
      </c>
      <c r="E29" s="54"/>
      <c r="J29" s="243"/>
      <c r="K29" s="532"/>
      <c r="L29" s="532" t="s">
        <v>106</v>
      </c>
      <c r="M29" s="7" t="s">
        <v>338</v>
      </c>
      <c r="N29" s="520"/>
      <c r="O29" s="8">
        <v>14.4</v>
      </c>
      <c r="P29" s="519">
        <v>18.6</v>
      </c>
      <c r="Q29" s="520"/>
      <c r="R29" s="8">
        <v>12</v>
      </c>
      <c r="S29" s="519">
        <v>15.5</v>
      </c>
      <c r="T29" s="520"/>
      <c r="U29" s="8">
        <v>7.2</v>
      </c>
      <c r="V29" s="519">
        <v>9.3</v>
      </c>
      <c r="W29" s="129"/>
      <c r="Y29" s="22"/>
      <c r="AB29" s="525">
        <f>IF(N29&gt;0,1,"")</f>
      </c>
      <c r="AC29" s="150">
        <f>IF(N29&gt;0,O29,0)</f>
        <v>0</v>
      </c>
      <c r="AD29" s="38"/>
      <c r="AE29" s="525">
        <f t="shared" si="0"/>
      </c>
      <c r="AF29" s="150">
        <f>IF(Q29&gt;0,R29,0)</f>
        <v>0</v>
      </c>
      <c r="AG29" s="38"/>
      <c r="AH29" s="525">
        <f>IF(T29&gt;0,1,"")</f>
      </c>
      <c r="AI29" s="150">
        <f>IF(T29&gt;0,U29,0)</f>
        <v>0</v>
      </c>
      <c r="AJ29" s="38"/>
      <c r="AK29" s="37"/>
      <c r="AL29" s="37"/>
      <c r="AM29" s="37"/>
      <c r="AP29" s="222" t="s">
        <v>132</v>
      </c>
      <c r="AQ29" s="237">
        <v>0.4</v>
      </c>
      <c r="AR29" s="245">
        <f t="shared" si="1"/>
        <v>0</v>
      </c>
      <c r="AS29" s="237">
        <v>0.6</v>
      </c>
      <c r="AT29" s="245">
        <f t="shared" si="2"/>
        <v>0</v>
      </c>
      <c r="AU29" s="236"/>
      <c r="AV29" s="237">
        <v>0.4</v>
      </c>
      <c r="AW29" s="245">
        <f t="shared" si="3"/>
        <v>0</v>
      </c>
      <c r="AX29" s="237">
        <v>0.6</v>
      </c>
      <c r="AY29" s="245">
        <f t="shared" si="4"/>
        <v>0</v>
      </c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448"/>
      <c r="GN29" s="236"/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36"/>
      <c r="HJ29" s="236"/>
      <c r="HK29" s="236"/>
      <c r="HL29" s="236"/>
      <c r="HM29" s="236"/>
      <c r="HN29" s="236"/>
      <c r="HO29" s="236"/>
      <c r="HP29" s="236"/>
      <c r="HQ29" s="236"/>
      <c r="HR29" s="236"/>
      <c r="HS29" s="236"/>
      <c r="HT29" s="236"/>
      <c r="HU29" s="236"/>
      <c r="HV29" s="236"/>
      <c r="HW29" s="236"/>
      <c r="HX29" s="236"/>
      <c r="HY29" s="236"/>
      <c r="HZ29" s="236"/>
      <c r="IA29" s="236"/>
      <c r="IB29" s="236"/>
    </row>
    <row r="30" spans="2:236" ht="12.75">
      <c r="B30" s="54"/>
      <c r="C30" s="54"/>
      <c r="D30" s="54"/>
      <c r="E30" s="54"/>
      <c r="J30" s="243"/>
      <c r="K30" s="532"/>
      <c r="L30" s="532"/>
      <c r="M30" s="7" t="s">
        <v>339</v>
      </c>
      <c r="N30" s="521"/>
      <c r="O30" s="8">
        <v>4.2</v>
      </c>
      <c r="P30" s="519"/>
      <c r="Q30" s="521"/>
      <c r="R30" s="8">
        <v>3.5</v>
      </c>
      <c r="S30" s="519"/>
      <c r="T30" s="521"/>
      <c r="U30" s="8">
        <v>2.1</v>
      </c>
      <c r="V30" s="519"/>
      <c r="W30" s="194"/>
      <c r="X30" s="19"/>
      <c r="Y30" s="20"/>
      <c r="AB30" s="525"/>
      <c r="AC30" s="150">
        <f>IF(N29&gt;0,O30,0)</f>
        <v>0</v>
      </c>
      <c r="AD30" s="38"/>
      <c r="AE30" s="525"/>
      <c r="AF30" s="150">
        <f>IF(Q29&gt;0,R30,0)</f>
        <v>0</v>
      </c>
      <c r="AG30" s="38"/>
      <c r="AH30" s="525"/>
      <c r="AI30" s="150">
        <f>IF(T29&gt;0,U30,0)</f>
        <v>0</v>
      </c>
      <c r="AJ30" s="38"/>
      <c r="AK30" s="37"/>
      <c r="AL30" s="37"/>
      <c r="AM30" s="37"/>
      <c r="AP30" s="222" t="s">
        <v>133</v>
      </c>
      <c r="AQ30" s="223">
        <v>0.4</v>
      </c>
      <c r="AR30" s="245">
        <f t="shared" si="1"/>
        <v>0</v>
      </c>
      <c r="AS30" s="223">
        <v>0.6</v>
      </c>
      <c r="AT30" s="245">
        <f t="shared" si="2"/>
        <v>0</v>
      </c>
      <c r="AV30" s="223">
        <v>0.4</v>
      </c>
      <c r="AW30" s="245">
        <f t="shared" si="3"/>
        <v>0</v>
      </c>
      <c r="AX30" s="223">
        <v>0.6</v>
      </c>
      <c r="AY30" s="245">
        <f t="shared" si="4"/>
        <v>0</v>
      </c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448"/>
      <c r="GN30" s="236"/>
      <c r="GO30" s="236"/>
      <c r="GP30" s="236"/>
      <c r="GQ30" s="236"/>
      <c r="GR30" s="236"/>
      <c r="GS30" s="236"/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36"/>
      <c r="HJ30" s="236"/>
      <c r="HK30" s="236"/>
      <c r="HL30" s="236"/>
      <c r="HM30" s="236"/>
      <c r="HN30" s="236"/>
      <c r="HO30" s="236"/>
      <c r="HP30" s="236"/>
      <c r="HQ30" s="236"/>
      <c r="HR30" s="236"/>
      <c r="HS30" s="236"/>
      <c r="HT30" s="236"/>
      <c r="HU30" s="236"/>
      <c r="HV30" s="236"/>
      <c r="HW30" s="236"/>
      <c r="HX30" s="236"/>
      <c r="HY30" s="236"/>
      <c r="HZ30" s="236"/>
      <c r="IA30" s="236"/>
      <c r="IB30" s="236"/>
    </row>
    <row r="31" spans="28:236" ht="12.75"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P31" s="222" t="s">
        <v>134</v>
      </c>
      <c r="AQ31" s="223">
        <v>0.2</v>
      </c>
      <c r="AR31" s="245">
        <f t="shared" si="1"/>
        <v>0</v>
      </c>
      <c r="AS31" s="223">
        <v>0.6</v>
      </c>
      <c r="AT31" s="245">
        <f t="shared" si="2"/>
        <v>0</v>
      </c>
      <c r="AU31" s="200"/>
      <c r="AV31" s="223">
        <v>0.4</v>
      </c>
      <c r="AW31" s="245">
        <f t="shared" si="3"/>
        <v>0</v>
      </c>
      <c r="AX31" s="223">
        <v>0.6</v>
      </c>
      <c r="AY31" s="245">
        <f t="shared" si="4"/>
        <v>0</v>
      </c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448"/>
      <c r="GN31" s="236"/>
      <c r="GO31" s="236"/>
      <c r="GP31" s="236"/>
      <c r="GQ31" s="236"/>
      <c r="GR31" s="236"/>
      <c r="GS31" s="236"/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36"/>
      <c r="HJ31" s="236"/>
      <c r="HK31" s="236"/>
      <c r="HL31" s="236"/>
      <c r="HM31" s="236"/>
      <c r="HN31" s="236"/>
      <c r="HO31" s="236"/>
      <c r="HP31" s="236"/>
      <c r="HQ31" s="236"/>
      <c r="HR31" s="236"/>
      <c r="HS31" s="236"/>
      <c r="HT31" s="236"/>
      <c r="HU31" s="236"/>
      <c r="HV31" s="236"/>
      <c r="HW31" s="236"/>
      <c r="HX31" s="236"/>
      <c r="HY31" s="236"/>
      <c r="HZ31" s="236"/>
      <c r="IA31" s="236"/>
      <c r="IB31" s="236"/>
    </row>
    <row r="32" spans="2:236" ht="12.75">
      <c r="B32" s="54">
        <f>SUM(B13:E30)</f>
        <v>0</v>
      </c>
      <c r="J32" s="72" t="str">
        <f>IF(D59=0,"Spuntare un uso di progetto per il calcolo dotazioni","")</f>
        <v>Spuntare un uso di progetto per il calcolo dotazioni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P32" s="222" t="s">
        <v>135</v>
      </c>
      <c r="AQ32" s="223">
        <v>0.2</v>
      </c>
      <c r="AR32" s="245">
        <f t="shared" si="1"/>
        <v>0</v>
      </c>
      <c r="AS32" s="223">
        <v>0.6</v>
      </c>
      <c r="AT32" s="245">
        <f t="shared" si="2"/>
        <v>0</v>
      </c>
      <c r="AV32" s="223">
        <v>0.4</v>
      </c>
      <c r="AW32" s="245">
        <f t="shared" si="3"/>
        <v>0</v>
      </c>
      <c r="AX32" s="223">
        <v>0.6</v>
      </c>
      <c r="AY32" s="245">
        <f t="shared" si="4"/>
        <v>0</v>
      </c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448"/>
      <c r="GN32" s="236"/>
      <c r="GO32" s="236"/>
      <c r="GP32" s="236"/>
      <c r="GQ32" s="236"/>
      <c r="GR32" s="236"/>
      <c r="GS32" s="236"/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36"/>
      <c r="HJ32" s="236"/>
      <c r="HK32" s="236"/>
      <c r="HL32" s="236"/>
      <c r="HM32" s="236"/>
      <c r="HN32" s="236"/>
      <c r="HO32" s="236"/>
      <c r="HP32" s="236"/>
      <c r="HQ32" s="236"/>
      <c r="HR32" s="236"/>
      <c r="HS32" s="236"/>
      <c r="HT32" s="236"/>
      <c r="HU32" s="236"/>
      <c r="HV32" s="236"/>
      <c r="HW32" s="236"/>
      <c r="HX32" s="236"/>
      <c r="HY32" s="236"/>
      <c r="HZ32" s="236"/>
      <c r="IA32" s="236"/>
      <c r="IB32" s="236"/>
    </row>
    <row r="33" spans="10:236" ht="12.75">
      <c r="J33" s="72">
        <f>IF(D59&gt;1,"Spuntare un solo uso di progetto per il calcolo dotazioni","")</f>
      </c>
      <c r="N33" s="168" t="s">
        <v>338</v>
      </c>
      <c r="O33" s="169">
        <f>AC38</f>
        <v>0</v>
      </c>
      <c r="U33" t="s">
        <v>310</v>
      </c>
      <c r="V33" s="179">
        <f>O33*N37</f>
        <v>0</v>
      </c>
      <c r="AB33" s="144" t="s">
        <v>338</v>
      </c>
      <c r="AC33" s="144">
        <f>SUM(AC13+AC15+AC17+AC19+AC21+AC23+AC25+AC27+AC29)</f>
        <v>0</v>
      </c>
      <c r="AD33" s="144"/>
      <c r="AE33" s="144"/>
      <c r="AF33" s="144">
        <f>SUM(AF13+AF15+AF17+AF19+AF21+AF23+AF25+AF27+AF29)</f>
        <v>0</v>
      </c>
      <c r="AG33" s="144"/>
      <c r="AH33" s="144"/>
      <c r="AI33" s="144">
        <f>SUM(AI13+AI15+AI17+AI19+AI21+AI23+AI25+AI27+AI29)</f>
        <v>0</v>
      </c>
      <c r="AJ33" s="144"/>
      <c r="AK33" s="144"/>
      <c r="AL33" s="144">
        <f>SUM(AL19+AL21+AL23)</f>
        <v>0</v>
      </c>
      <c r="AP33" s="222" t="s">
        <v>136</v>
      </c>
      <c r="AQ33" s="223">
        <v>0</v>
      </c>
      <c r="AR33" s="245">
        <f t="shared" si="1"/>
        <v>0</v>
      </c>
      <c r="AS33" s="223">
        <v>0.6</v>
      </c>
      <c r="AT33" s="245">
        <f t="shared" si="2"/>
        <v>0</v>
      </c>
      <c r="AV33" s="223">
        <v>0</v>
      </c>
      <c r="AW33" s="245">
        <f t="shared" si="3"/>
        <v>0</v>
      </c>
      <c r="AX33" s="223">
        <v>0.6</v>
      </c>
      <c r="AY33" s="245">
        <f t="shared" si="4"/>
        <v>0</v>
      </c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448"/>
      <c r="GN33" s="236"/>
      <c r="GO33" s="236"/>
      <c r="GP33" s="236"/>
      <c r="GQ33" s="236"/>
      <c r="GR33" s="236"/>
      <c r="GS33" s="236"/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36"/>
      <c r="HJ33" s="236"/>
      <c r="HK33" s="236"/>
      <c r="HL33" s="236"/>
      <c r="HM33" s="236"/>
      <c r="HN33" s="236"/>
      <c r="HO33" s="236"/>
      <c r="HP33" s="236"/>
      <c r="HQ33" s="236"/>
      <c r="HR33" s="236"/>
      <c r="HS33" s="236"/>
      <c r="HT33" s="236"/>
      <c r="HU33" s="236"/>
      <c r="HV33" s="236"/>
      <c r="HW33" s="236"/>
      <c r="HX33" s="236"/>
      <c r="HY33" s="236"/>
      <c r="HZ33" s="236"/>
      <c r="IA33" s="236"/>
      <c r="IB33" s="236"/>
    </row>
    <row r="34" spans="10:236" ht="13.5" thickBot="1">
      <c r="J34" s="290" t="s">
        <v>479</v>
      </c>
      <c r="K34" s="61"/>
      <c r="N34" s="168" t="s">
        <v>339</v>
      </c>
      <c r="O34" s="169">
        <f>AC39</f>
        <v>0</v>
      </c>
      <c r="U34" t="s">
        <v>311</v>
      </c>
      <c r="V34" s="179">
        <f>O34*N37</f>
        <v>0</v>
      </c>
      <c r="AB34" s="144" t="s">
        <v>339</v>
      </c>
      <c r="AC34" s="144">
        <f>SUM(AC14+AC16+AC18+AC20+AC22+AC24+AC26+AC28+AC30)</f>
        <v>0</v>
      </c>
      <c r="AD34" s="144"/>
      <c r="AE34" s="144"/>
      <c r="AF34" s="144">
        <f>SUM(AF14+AF16+AF18+AF20+AF22+AF24+AF26+AF28+AF30)</f>
        <v>0</v>
      </c>
      <c r="AG34" s="144"/>
      <c r="AH34" s="144"/>
      <c r="AI34" s="144">
        <f>SUM(AI14+AI16+AI18+AI20+AI22+AI24+AI26+AI28+AI30)</f>
        <v>0</v>
      </c>
      <c r="AJ34" s="144"/>
      <c r="AK34" s="144"/>
      <c r="AL34" s="144">
        <f>SUM(AL20+AL22+AL24)</f>
        <v>0</v>
      </c>
      <c r="AP34" s="222" t="s">
        <v>137</v>
      </c>
      <c r="AQ34" s="223">
        <v>0.2</v>
      </c>
      <c r="AR34" s="245">
        <f t="shared" si="1"/>
        <v>0</v>
      </c>
      <c r="AS34" s="223">
        <v>0.6</v>
      </c>
      <c r="AT34" s="245">
        <f t="shared" si="2"/>
        <v>0</v>
      </c>
      <c r="AV34" s="223">
        <v>0.4</v>
      </c>
      <c r="AW34" s="245">
        <f t="shared" si="3"/>
        <v>0</v>
      </c>
      <c r="AX34" s="223">
        <v>0.6</v>
      </c>
      <c r="AY34" s="245">
        <f t="shared" si="4"/>
        <v>0</v>
      </c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448"/>
      <c r="GN34" s="236"/>
      <c r="GO34" s="236"/>
      <c r="GP34" s="236"/>
      <c r="GQ34" s="236"/>
      <c r="GR34" s="236"/>
      <c r="GS34" s="236"/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36"/>
      <c r="HJ34" s="236"/>
      <c r="HK34" s="236"/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6"/>
      <c r="HW34" s="236"/>
      <c r="HX34" s="236"/>
      <c r="HY34" s="236"/>
      <c r="HZ34" s="236"/>
      <c r="IA34" s="236"/>
      <c r="IB34" s="236"/>
    </row>
    <row r="35" spans="1:236" ht="13.5" customHeight="1" thickBot="1">
      <c r="A35" s="48">
        <f>IF(J35&gt;0,1,0)</f>
        <v>0</v>
      </c>
      <c r="D35" s="54">
        <f>IF(J35&gt;0,1,0)</f>
        <v>0</v>
      </c>
      <c r="H35" t="s">
        <v>67</v>
      </c>
      <c r="J35" s="295"/>
      <c r="K35" s="244" t="s">
        <v>23</v>
      </c>
      <c r="AP35" s="222" t="s">
        <v>140</v>
      </c>
      <c r="AQ35" s="223">
        <v>0.2</v>
      </c>
      <c r="AR35" s="245">
        <f t="shared" si="1"/>
        <v>0</v>
      </c>
      <c r="AS35" s="223">
        <v>0.8</v>
      </c>
      <c r="AT35" s="245">
        <f t="shared" si="2"/>
        <v>0</v>
      </c>
      <c r="AV35" s="223">
        <v>0.4</v>
      </c>
      <c r="AW35" s="245">
        <f t="shared" si="3"/>
        <v>0</v>
      </c>
      <c r="AX35" s="223">
        <v>0.6</v>
      </c>
      <c r="AY35" s="245">
        <f t="shared" si="4"/>
        <v>0</v>
      </c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448"/>
      <c r="GN35" s="236"/>
      <c r="GO35" s="236"/>
      <c r="GP35" s="236"/>
      <c r="GQ35" s="236"/>
      <c r="GR35" s="236"/>
      <c r="GS35" s="236"/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  <c r="HD35" s="236"/>
      <c r="HE35" s="236"/>
      <c r="HF35" s="236"/>
      <c r="HG35" s="236"/>
      <c r="HH35" s="236"/>
      <c r="HI35" s="236"/>
      <c r="HJ35" s="236"/>
      <c r="HK35" s="236"/>
      <c r="HL35" s="236"/>
      <c r="HM35" s="236"/>
      <c r="HN35" s="236"/>
      <c r="HO35" s="236"/>
      <c r="HP35" s="236"/>
      <c r="HQ35" s="236"/>
      <c r="HR35" s="236"/>
      <c r="HS35" s="236"/>
      <c r="HT35" s="236"/>
      <c r="HU35" s="236"/>
      <c r="HV35" s="236"/>
      <c r="HW35" s="236"/>
      <c r="HX35" s="236"/>
      <c r="HY35" s="236"/>
      <c r="HZ35" s="236"/>
      <c r="IA35" s="236"/>
      <c r="IB35" s="236"/>
    </row>
    <row r="36" spans="1:236" ht="13.5" customHeight="1" thickBot="1">
      <c r="A36" s="48">
        <f aca="true" t="shared" si="7" ref="A36:A58">IF(J36&gt;0,1,0)</f>
        <v>0</v>
      </c>
      <c r="D36" s="54">
        <f aca="true" t="shared" si="8" ref="D36:D58">IF(J36&gt;0,1,0)</f>
        <v>0</v>
      </c>
      <c r="H36" t="s">
        <v>172</v>
      </c>
      <c r="J36" s="295"/>
      <c r="K36" s="244" t="s">
        <v>24</v>
      </c>
      <c r="L36" s="427" t="s">
        <v>482</v>
      </c>
      <c r="N36" s="526" t="s">
        <v>192</v>
      </c>
      <c r="O36" s="526"/>
      <c r="AP36" s="222">
        <v>8</v>
      </c>
      <c r="AQ36" s="240">
        <v>0</v>
      </c>
      <c r="AR36" s="245">
        <f t="shared" si="1"/>
        <v>0</v>
      </c>
      <c r="AS36" s="240">
        <v>0</v>
      </c>
      <c r="AT36" s="245">
        <f t="shared" si="2"/>
        <v>0</v>
      </c>
      <c r="AU36" s="240"/>
      <c r="AV36" s="240">
        <v>0</v>
      </c>
      <c r="AW36" s="245">
        <f t="shared" si="3"/>
        <v>0</v>
      </c>
      <c r="AX36" s="240">
        <v>0</v>
      </c>
      <c r="AY36" s="245">
        <f t="shared" si="4"/>
        <v>0</v>
      </c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/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/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448"/>
      <c r="GN36" s="236"/>
      <c r="GO36" s="236"/>
      <c r="GP36" s="236"/>
      <c r="GQ36" s="236"/>
      <c r="GR36" s="236"/>
      <c r="GS36" s="236"/>
      <c r="GT36" s="236"/>
      <c r="GU36" s="236"/>
      <c r="GV36" s="236"/>
      <c r="GW36" s="236"/>
      <c r="GX36" s="236"/>
      <c r="GY36" s="236"/>
      <c r="GZ36" s="236"/>
      <c r="HA36" s="236"/>
      <c r="HB36" s="236"/>
      <c r="HC36" s="236"/>
      <c r="HD36" s="236"/>
      <c r="HE36" s="236"/>
      <c r="HF36" s="236"/>
      <c r="HG36" s="236"/>
      <c r="HH36" s="236"/>
      <c r="HI36" s="236"/>
      <c r="HJ36" s="236"/>
      <c r="HK36" s="236"/>
      <c r="HL36" s="236"/>
      <c r="HM36" s="236"/>
      <c r="HN36" s="236"/>
      <c r="HO36" s="236"/>
      <c r="HP36" s="236"/>
      <c r="HQ36" s="236"/>
      <c r="HR36" s="236"/>
      <c r="HS36" s="236"/>
      <c r="HT36" s="236"/>
      <c r="HU36" s="236"/>
      <c r="HV36" s="236"/>
      <c r="HW36" s="236"/>
      <c r="HX36" s="236"/>
      <c r="HY36" s="236"/>
      <c r="HZ36" s="236"/>
      <c r="IA36" s="236"/>
      <c r="IB36" s="236"/>
    </row>
    <row r="37" spans="1:236" ht="13.5" customHeight="1" thickBot="1">
      <c r="A37" s="48">
        <f t="shared" si="7"/>
        <v>0</v>
      </c>
      <c r="D37" s="54">
        <f t="shared" si="8"/>
        <v>0</v>
      </c>
      <c r="H37" t="s">
        <v>68</v>
      </c>
      <c r="J37" s="294"/>
      <c r="K37" s="244" t="s">
        <v>25</v>
      </c>
      <c r="L37" s="458" t="s">
        <v>480</v>
      </c>
      <c r="N37" s="527"/>
      <c r="O37" s="528"/>
      <c r="AR37" s="248">
        <f>SUM(AR13:AR35)</f>
        <v>0</v>
      </c>
      <c r="AS37" s="245"/>
      <c r="AT37" s="248">
        <f>SUM(AT13:AT36)</f>
        <v>0</v>
      </c>
      <c r="AU37" s="245"/>
      <c r="AV37" s="245"/>
      <c r="AW37" s="248">
        <f>SUM(AW13:AW36)</f>
        <v>0</v>
      </c>
      <c r="AX37" s="245"/>
      <c r="AY37" s="248">
        <f>SUM(AY13:AY36)</f>
        <v>0</v>
      </c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/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/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448"/>
      <c r="GN37" s="236"/>
      <c r="GO37" s="236"/>
      <c r="GP37" s="236"/>
      <c r="GQ37" s="236"/>
      <c r="GR37" s="236"/>
      <c r="GS37" s="236"/>
      <c r="GT37" s="236"/>
      <c r="GU37" s="236"/>
      <c r="GV37" s="236"/>
      <c r="GW37" s="236"/>
      <c r="GX37" s="236"/>
      <c r="GY37" s="236"/>
      <c r="GZ37" s="236"/>
      <c r="HA37" s="236"/>
      <c r="HB37" s="236"/>
      <c r="HC37" s="236"/>
      <c r="HD37" s="236"/>
      <c r="HE37" s="236"/>
      <c r="HF37" s="236"/>
      <c r="HG37" s="236"/>
      <c r="HH37" s="236"/>
      <c r="HI37" s="236"/>
      <c r="HJ37" s="236"/>
      <c r="HK37" s="236"/>
      <c r="HL37" s="236"/>
      <c r="HM37" s="236"/>
      <c r="HN37" s="236"/>
      <c r="HO37" s="236"/>
      <c r="HP37" s="236"/>
      <c r="HQ37" s="236"/>
      <c r="HR37" s="236"/>
      <c r="HS37" s="236"/>
      <c r="HT37" s="236"/>
      <c r="HU37" s="236"/>
      <c r="HV37" s="236"/>
      <c r="HW37" s="236"/>
      <c r="HX37" s="236"/>
      <c r="HY37" s="236"/>
      <c r="HZ37" s="236"/>
      <c r="IA37" s="236"/>
      <c r="IB37" s="236"/>
    </row>
    <row r="38" spans="1:236" ht="13.5" customHeight="1" thickBot="1">
      <c r="A38" s="48">
        <f t="shared" si="7"/>
        <v>0</v>
      </c>
      <c r="D38" s="54">
        <f t="shared" si="8"/>
        <v>0</v>
      </c>
      <c r="H38" t="s">
        <v>68</v>
      </c>
      <c r="J38" s="294"/>
      <c r="K38" s="244" t="s">
        <v>26</v>
      </c>
      <c r="L38" s="452"/>
      <c r="AB38" s="144" t="s">
        <v>338</v>
      </c>
      <c r="AC38" s="144">
        <f>SUM(AC33+AF33+AI33+AL33)</f>
        <v>0</v>
      </c>
      <c r="AO38" s="3"/>
      <c r="AP38" s="3"/>
      <c r="AQ38" s="237"/>
      <c r="AR38" s="240"/>
      <c r="AS38" s="240"/>
      <c r="AT38" s="240"/>
      <c r="AU38" s="240"/>
      <c r="AV38" s="240"/>
      <c r="AW38" s="240"/>
      <c r="AX38" s="240"/>
      <c r="AY38" s="240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448"/>
      <c r="GN38" s="236"/>
      <c r="GO38" s="236"/>
      <c r="GP38" s="236"/>
      <c r="GQ38" s="236"/>
      <c r="GR38" s="236"/>
      <c r="GS38" s="236"/>
      <c r="GT38" s="236"/>
      <c r="GU38" s="236"/>
      <c r="GV38" s="236"/>
      <c r="GW38" s="236"/>
      <c r="GX38" s="236"/>
      <c r="GY38" s="236"/>
      <c r="GZ38" s="236"/>
      <c r="HA38" s="236"/>
      <c r="HB38" s="236"/>
      <c r="HC38" s="236"/>
      <c r="HD38" s="236"/>
      <c r="HE38" s="236"/>
      <c r="HF38" s="236"/>
      <c r="HG38" s="236"/>
      <c r="HH38" s="236"/>
      <c r="HI38" s="236"/>
      <c r="HJ38" s="236"/>
      <c r="HK38" s="236"/>
      <c r="HL38" s="236"/>
      <c r="HM38" s="236"/>
      <c r="HN38" s="236"/>
      <c r="HO38" s="236"/>
      <c r="HP38" s="236"/>
      <c r="HQ38" s="236"/>
      <c r="HR38" s="236"/>
      <c r="HS38" s="236"/>
      <c r="HT38" s="236"/>
      <c r="HU38" s="236"/>
      <c r="HV38" s="236"/>
      <c r="HW38" s="236"/>
      <c r="HX38" s="236"/>
      <c r="HY38" s="236"/>
      <c r="HZ38" s="236"/>
      <c r="IA38" s="236"/>
      <c r="IB38" s="236"/>
    </row>
    <row r="39" spans="1:236" ht="13.5" customHeight="1" thickBot="1">
      <c r="A39" s="48">
        <f t="shared" si="7"/>
        <v>0</v>
      </c>
      <c r="D39" s="54">
        <f t="shared" si="8"/>
        <v>0</v>
      </c>
      <c r="H39" t="s">
        <v>69</v>
      </c>
      <c r="J39" s="294"/>
      <c r="K39" s="244" t="s">
        <v>27</v>
      </c>
      <c r="L39" s="452"/>
      <c r="AB39" s="144" t="s">
        <v>339</v>
      </c>
      <c r="AC39" s="144">
        <f>SUM(AC34+AF34+AI34+AL34)</f>
        <v>0</v>
      </c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/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/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448"/>
      <c r="GN39" s="236"/>
      <c r="GO39" s="236"/>
      <c r="GP39" s="236"/>
      <c r="GQ39" s="236"/>
      <c r="GR39" s="236"/>
      <c r="GS39" s="236"/>
      <c r="GT39" s="236"/>
      <c r="GU39" s="236"/>
      <c r="GV39" s="236"/>
      <c r="GW39" s="236"/>
      <c r="GX39" s="236"/>
      <c r="GY39" s="236"/>
      <c r="GZ39" s="236"/>
      <c r="HA39" s="236"/>
      <c r="HB39" s="236"/>
      <c r="HC39" s="236"/>
      <c r="HD39" s="236"/>
      <c r="HE39" s="236"/>
      <c r="HF39" s="236"/>
      <c r="HG39" s="236"/>
      <c r="HH39" s="236"/>
      <c r="HI39" s="236"/>
      <c r="HJ39" s="236"/>
      <c r="HK39" s="236"/>
      <c r="HL39" s="236"/>
      <c r="HM39" s="236"/>
      <c r="HN39" s="236"/>
      <c r="HO39" s="236"/>
      <c r="HP39" s="236"/>
      <c r="HQ39" s="236"/>
      <c r="HR39" s="236"/>
      <c r="HS39" s="236"/>
      <c r="HT39" s="236"/>
      <c r="HU39" s="236"/>
      <c r="HV39" s="236"/>
      <c r="HW39" s="236"/>
      <c r="HX39" s="236"/>
      <c r="HY39" s="236"/>
      <c r="HZ39" s="236"/>
      <c r="IA39" s="236"/>
      <c r="IB39" s="236"/>
    </row>
    <row r="40" spans="1:236" ht="13.5" customHeight="1" thickBot="1">
      <c r="A40" s="48">
        <f t="shared" si="7"/>
        <v>0</v>
      </c>
      <c r="D40" s="54">
        <f t="shared" si="8"/>
        <v>0</v>
      </c>
      <c r="H40" t="s">
        <v>69</v>
      </c>
      <c r="J40" s="294"/>
      <c r="K40" s="244" t="s">
        <v>28</v>
      </c>
      <c r="L40" s="452"/>
      <c r="AO40" s="3"/>
      <c r="AP40" s="3"/>
      <c r="AQ40" s="237"/>
      <c r="AR40" s="237"/>
      <c r="AS40" s="237"/>
      <c r="AT40" s="236"/>
      <c r="AU40" s="236"/>
      <c r="AV40" s="237"/>
      <c r="AW40" s="236"/>
      <c r="AX40" s="237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/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/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/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448"/>
      <c r="GN40" s="236"/>
      <c r="GO40" s="236"/>
      <c r="GP40" s="236"/>
      <c r="GQ40" s="236"/>
      <c r="GR40" s="236"/>
      <c r="GS40" s="236"/>
      <c r="GT40" s="236"/>
      <c r="GU40" s="236"/>
      <c r="GV40" s="236"/>
      <c r="GW40" s="236"/>
      <c r="GX40" s="236"/>
      <c r="GY40" s="236"/>
      <c r="GZ40" s="236"/>
      <c r="HA40" s="236"/>
      <c r="HB40" s="236"/>
      <c r="HC40" s="236"/>
      <c r="HD40" s="236"/>
      <c r="HE40" s="236"/>
      <c r="HF40" s="236"/>
      <c r="HG40" s="236"/>
      <c r="HH40" s="236"/>
      <c r="HI40" s="236"/>
      <c r="HJ40" s="236"/>
      <c r="HK40" s="236"/>
      <c r="HL40" s="236"/>
      <c r="HM40" s="236"/>
      <c r="HN40" s="236"/>
      <c r="HO40" s="236"/>
      <c r="HP40" s="236"/>
      <c r="HQ40" s="236"/>
      <c r="HR40" s="236"/>
      <c r="HS40" s="236"/>
      <c r="HT40" s="236"/>
      <c r="HU40" s="236"/>
      <c r="HV40" s="236"/>
      <c r="HW40" s="236"/>
      <c r="HX40" s="236"/>
      <c r="HY40" s="236"/>
      <c r="HZ40" s="236"/>
      <c r="IA40" s="236"/>
      <c r="IB40" s="236"/>
    </row>
    <row r="41" spans="1:236" ht="13.5" customHeight="1" thickBot="1">
      <c r="A41" s="48">
        <f t="shared" si="7"/>
        <v>0</v>
      </c>
      <c r="D41" s="54">
        <f t="shared" si="8"/>
        <v>0</v>
      </c>
      <c r="H41" t="s">
        <v>69</v>
      </c>
      <c r="J41" s="294"/>
      <c r="K41" s="244" t="s">
        <v>29</v>
      </c>
      <c r="L41" s="452"/>
      <c r="N41" s="294"/>
      <c r="O41" t="s">
        <v>339</v>
      </c>
      <c r="P41" s="152" t="s">
        <v>193</v>
      </c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448"/>
      <c r="GN41" s="236"/>
      <c r="GO41" s="236"/>
      <c r="GP41" s="236"/>
      <c r="GQ41" s="236"/>
      <c r="GR41" s="236"/>
      <c r="GS41" s="236"/>
      <c r="GT41" s="236"/>
      <c r="GU41" s="236"/>
      <c r="GV41" s="236"/>
      <c r="GW41" s="236"/>
      <c r="GX41" s="236"/>
      <c r="GY41" s="236"/>
      <c r="GZ41" s="236"/>
      <c r="HA41" s="236"/>
      <c r="HB41" s="236"/>
      <c r="HC41" s="236"/>
      <c r="HD41" s="236"/>
      <c r="HE41" s="236"/>
      <c r="HF41" s="236"/>
      <c r="HG41" s="236"/>
      <c r="HH41" s="236"/>
      <c r="HI41" s="236"/>
      <c r="HJ41" s="236"/>
      <c r="HK41" s="236"/>
      <c r="HL41" s="236"/>
      <c r="HM41" s="236"/>
      <c r="HN41" s="236"/>
      <c r="HO41" s="236"/>
      <c r="HP41" s="236"/>
      <c r="HQ41" s="236"/>
      <c r="HR41" s="236"/>
      <c r="HS41" s="236"/>
      <c r="HT41" s="236"/>
      <c r="HU41" s="236"/>
      <c r="HV41" s="236"/>
      <c r="HW41" s="236"/>
      <c r="HX41" s="236"/>
      <c r="HY41" s="236"/>
      <c r="HZ41" s="236"/>
      <c r="IA41" s="236"/>
      <c r="IB41" s="236"/>
    </row>
    <row r="42" spans="1:236" ht="13.5" customHeight="1" thickBot="1">
      <c r="A42" s="48">
        <f t="shared" si="7"/>
        <v>0</v>
      </c>
      <c r="D42" s="54">
        <f t="shared" si="8"/>
        <v>0</v>
      </c>
      <c r="H42" t="s">
        <v>69</v>
      </c>
      <c r="J42" s="294"/>
      <c r="K42" s="244" t="s">
        <v>30</v>
      </c>
      <c r="L42" s="452"/>
      <c r="O42" s="522" t="s">
        <v>352</v>
      </c>
      <c r="P42" s="522"/>
      <c r="Q42" s="522"/>
      <c r="R42" s="522"/>
      <c r="S42" s="522"/>
      <c r="U42" s="6"/>
      <c r="AQ42" s="238"/>
      <c r="AR42" s="237"/>
      <c r="AS42" s="238"/>
      <c r="AV42" s="238"/>
      <c r="AX42" s="238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/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6"/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36"/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448"/>
      <c r="GN42" s="236"/>
      <c r="GO42" s="236"/>
      <c r="GP42" s="236"/>
      <c r="GQ42" s="236"/>
      <c r="GR42" s="236"/>
      <c r="GS42" s="236"/>
      <c r="GT42" s="236"/>
      <c r="GU42" s="236"/>
      <c r="GV42" s="236"/>
      <c r="GW42" s="236"/>
      <c r="GX42" s="236"/>
      <c r="GY42" s="236"/>
      <c r="GZ42" s="236"/>
      <c r="HA42" s="236"/>
      <c r="HB42" s="236"/>
      <c r="HC42" s="236"/>
      <c r="HD42" s="236"/>
      <c r="HE42" s="236"/>
      <c r="HF42" s="236"/>
      <c r="HG42" s="236"/>
      <c r="HH42" s="236"/>
      <c r="HI42" s="236"/>
      <c r="HJ42" s="236"/>
      <c r="HK42" s="236"/>
      <c r="HL42" s="236"/>
      <c r="HM42" s="236"/>
      <c r="HN42" s="236"/>
      <c r="HO42" s="236"/>
      <c r="HP42" s="236"/>
      <c r="HQ42" s="236"/>
      <c r="HR42" s="236"/>
      <c r="HS42" s="236"/>
      <c r="HT42" s="236"/>
      <c r="HU42" s="236"/>
      <c r="HV42" s="236"/>
      <c r="HW42" s="236"/>
      <c r="HX42" s="236"/>
      <c r="HY42" s="236"/>
      <c r="HZ42" s="236"/>
      <c r="IA42" s="236"/>
      <c r="IB42" s="236"/>
    </row>
    <row r="43" spans="1:236" ht="13.5" customHeight="1" thickBot="1">
      <c r="A43" s="48">
        <f t="shared" si="7"/>
        <v>0</v>
      </c>
      <c r="D43" s="54">
        <f t="shared" si="8"/>
        <v>0</v>
      </c>
      <c r="H43" t="s">
        <v>297</v>
      </c>
      <c r="J43" s="294"/>
      <c r="K43" s="244" t="s">
        <v>31</v>
      </c>
      <c r="L43" s="453"/>
      <c r="O43" s="522"/>
      <c r="P43" s="522"/>
      <c r="Q43" s="522"/>
      <c r="R43" s="522"/>
      <c r="S43" s="522"/>
      <c r="U43" s="6" t="s">
        <v>339</v>
      </c>
      <c r="V43" s="184">
        <f>AC43</f>
        <v>0</v>
      </c>
      <c r="AC43" s="150">
        <f>IF(N41&gt;0,V34*0.5,0)</f>
        <v>0</v>
      </c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236"/>
      <c r="FL43" s="236"/>
      <c r="FM43" s="236"/>
      <c r="FN43" s="236"/>
      <c r="FO43" s="236"/>
      <c r="FP43" s="236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36"/>
      <c r="GC43" s="236"/>
      <c r="GD43" s="236"/>
      <c r="GE43" s="236"/>
      <c r="GF43" s="236"/>
      <c r="GG43" s="236"/>
      <c r="GH43" s="236"/>
      <c r="GI43" s="236"/>
      <c r="GJ43" s="236"/>
      <c r="GK43" s="236"/>
      <c r="GL43" s="236"/>
      <c r="GM43" s="448"/>
      <c r="GN43" s="236"/>
      <c r="GO43" s="236"/>
      <c r="GP43" s="236"/>
      <c r="GQ43" s="236"/>
      <c r="GR43" s="236"/>
      <c r="GS43" s="236"/>
      <c r="GT43" s="236"/>
      <c r="GU43" s="236"/>
      <c r="GV43" s="236"/>
      <c r="GW43" s="236"/>
      <c r="GX43" s="236"/>
      <c r="GY43" s="236"/>
      <c r="GZ43" s="236"/>
      <c r="HA43" s="236"/>
      <c r="HB43" s="236"/>
      <c r="HC43" s="236"/>
      <c r="HD43" s="236"/>
      <c r="HE43" s="236"/>
      <c r="HF43" s="236"/>
      <c r="HG43" s="236"/>
      <c r="HH43" s="236"/>
      <c r="HI43" s="236"/>
      <c r="HJ43" s="236"/>
      <c r="HK43" s="236"/>
      <c r="HL43" s="236"/>
      <c r="HM43" s="236"/>
      <c r="HN43" s="236"/>
      <c r="HO43" s="236"/>
      <c r="HP43" s="236"/>
      <c r="HQ43" s="236"/>
      <c r="HR43" s="236"/>
      <c r="HS43" s="236"/>
      <c r="HT43" s="236"/>
      <c r="HU43" s="236"/>
      <c r="HV43" s="236"/>
      <c r="HW43" s="236"/>
      <c r="HX43" s="236"/>
      <c r="HY43" s="236"/>
      <c r="HZ43" s="236"/>
      <c r="IA43" s="236"/>
      <c r="IB43" s="236"/>
    </row>
    <row r="44" spans="1:236" ht="13.5" customHeight="1" thickBot="1">
      <c r="A44" s="48">
        <f t="shared" si="7"/>
        <v>0</v>
      </c>
      <c r="D44" s="54">
        <f t="shared" si="8"/>
        <v>0</v>
      </c>
      <c r="H44" t="s">
        <v>297</v>
      </c>
      <c r="J44" s="294"/>
      <c r="K44" s="244" t="s">
        <v>32</v>
      </c>
      <c r="U44" s="6"/>
      <c r="AC44" s="185"/>
      <c r="AQ44" s="238"/>
      <c r="AR44" s="237"/>
      <c r="AS44" s="238"/>
      <c r="AV44" s="238"/>
      <c r="AX44" s="238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/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/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448"/>
      <c r="GN44" s="236"/>
      <c r="GO44" s="236"/>
      <c r="GP44" s="236"/>
      <c r="GQ44" s="236"/>
      <c r="GR44" s="236"/>
      <c r="GS44" s="236"/>
      <c r="GT44" s="236"/>
      <c r="GU44" s="236"/>
      <c r="GV44" s="236"/>
      <c r="GW44" s="236"/>
      <c r="GX44" s="236"/>
      <c r="GY44" s="236"/>
      <c r="GZ44" s="236"/>
      <c r="HA44" s="236"/>
      <c r="HB44" s="236"/>
      <c r="HC44" s="236"/>
      <c r="HD44" s="236"/>
      <c r="HE44" s="236"/>
      <c r="HF44" s="236"/>
      <c r="HG44" s="236"/>
      <c r="HH44" s="236"/>
      <c r="HI44" s="236"/>
      <c r="HJ44" s="236"/>
      <c r="HK44" s="236"/>
      <c r="HL44" s="236"/>
      <c r="HM44" s="236"/>
      <c r="HN44" s="236"/>
      <c r="HO44" s="236"/>
      <c r="HP44" s="236"/>
      <c r="HQ44" s="236"/>
      <c r="HR44" s="236"/>
      <c r="HS44" s="236"/>
      <c r="HT44" s="236"/>
      <c r="HU44" s="236"/>
      <c r="HV44" s="236"/>
      <c r="HW44" s="236"/>
      <c r="HX44" s="236"/>
      <c r="HY44" s="236"/>
      <c r="HZ44" s="236"/>
      <c r="IA44" s="236"/>
      <c r="IB44" s="236"/>
    </row>
    <row r="45" spans="1:236" ht="13.5" customHeight="1" thickBot="1">
      <c r="A45" s="48">
        <f t="shared" si="7"/>
        <v>0</v>
      </c>
      <c r="D45" s="54">
        <f t="shared" si="8"/>
        <v>0</v>
      </c>
      <c r="H45" t="s">
        <v>297</v>
      </c>
      <c r="J45" s="294"/>
      <c r="K45" s="244" t="s">
        <v>33</v>
      </c>
      <c r="L45" s="427" t="s">
        <v>324</v>
      </c>
      <c r="U45" s="6"/>
      <c r="AC45" s="145"/>
      <c r="AY45" s="200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  <c r="DU45" s="236"/>
      <c r="DV45" s="236"/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  <c r="EI45" s="236"/>
      <c r="EJ45" s="236"/>
      <c r="EK45" s="236"/>
      <c r="EL45" s="236"/>
      <c r="EM45" s="236"/>
      <c r="EN45" s="236"/>
      <c r="EO45" s="236"/>
      <c r="EP45" s="236"/>
      <c r="EQ45" s="236"/>
      <c r="ER45" s="236"/>
      <c r="ES45" s="236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36"/>
      <c r="FJ45" s="236"/>
      <c r="FK45" s="236"/>
      <c r="FL45" s="236"/>
      <c r="FM45" s="236"/>
      <c r="FN45" s="236"/>
      <c r="FO45" s="236"/>
      <c r="FP45" s="236"/>
      <c r="FQ45" s="236"/>
      <c r="FR45" s="236"/>
      <c r="FS45" s="236"/>
      <c r="FT45" s="236"/>
      <c r="FU45" s="236"/>
      <c r="FV45" s="236"/>
      <c r="FW45" s="236"/>
      <c r="FX45" s="236"/>
      <c r="FY45" s="236"/>
      <c r="FZ45" s="236"/>
      <c r="GA45" s="236"/>
      <c r="GB45" s="236"/>
      <c r="GC45" s="236"/>
      <c r="GD45" s="236"/>
      <c r="GE45" s="236"/>
      <c r="GF45" s="236"/>
      <c r="GG45" s="236"/>
      <c r="GH45" s="236"/>
      <c r="GI45" s="236"/>
      <c r="GJ45" s="236"/>
      <c r="GK45" s="236"/>
      <c r="GL45" s="236"/>
      <c r="GM45" s="448"/>
      <c r="GN45" s="236"/>
      <c r="GO45" s="236"/>
      <c r="GP45" s="236"/>
      <c r="GQ45" s="236"/>
      <c r="GR45" s="236"/>
      <c r="GS45" s="236"/>
      <c r="GT45" s="236"/>
      <c r="GU45" s="236"/>
      <c r="GV45" s="236"/>
      <c r="GW45" s="236"/>
      <c r="GX45" s="236"/>
      <c r="GY45" s="236"/>
      <c r="GZ45" s="236"/>
      <c r="HA45" s="236"/>
      <c r="HB45" s="236"/>
      <c r="HC45" s="236"/>
      <c r="HD45" s="236"/>
      <c r="HE45" s="236"/>
      <c r="HF45" s="236"/>
      <c r="HG45" s="236"/>
      <c r="HH45" s="236"/>
      <c r="HI45" s="236"/>
      <c r="HJ45" s="236"/>
      <c r="HK45" s="236"/>
      <c r="HL45" s="236"/>
      <c r="HM45" s="236"/>
      <c r="HN45" s="236"/>
      <c r="HO45" s="236"/>
      <c r="HP45" s="236"/>
      <c r="HQ45" s="236"/>
      <c r="HR45" s="236"/>
      <c r="HS45" s="236"/>
      <c r="HT45" s="236"/>
      <c r="HU45" s="236"/>
      <c r="HV45" s="236"/>
      <c r="HW45" s="236"/>
      <c r="HX45" s="236"/>
      <c r="HY45" s="236"/>
      <c r="HZ45" s="236"/>
      <c r="IA45" s="236"/>
      <c r="IB45" s="236"/>
    </row>
    <row r="46" spans="1:195" ht="13.5" customHeight="1" thickBot="1">
      <c r="A46" s="48">
        <f t="shared" si="7"/>
        <v>0</v>
      </c>
      <c r="D46" s="54">
        <f t="shared" si="8"/>
        <v>0</v>
      </c>
      <c r="H46" t="s">
        <v>297</v>
      </c>
      <c r="J46" s="294"/>
      <c r="K46" s="244" t="s">
        <v>34</v>
      </c>
      <c r="L46" s="458" t="s">
        <v>481</v>
      </c>
      <c r="N46" s="294"/>
      <c r="O46" t="s">
        <v>309</v>
      </c>
      <c r="P46" s="152" t="s">
        <v>306</v>
      </c>
      <c r="U46" s="6"/>
      <c r="AC46" s="186"/>
      <c r="AP46" s="200"/>
      <c r="AQ46" s="241"/>
      <c r="AR46" s="237"/>
      <c r="AS46" s="241"/>
      <c r="AT46" s="200"/>
      <c r="AU46" s="200"/>
      <c r="AV46" s="241"/>
      <c r="AW46" s="200"/>
      <c r="AX46" s="241"/>
      <c r="AY46" s="200"/>
      <c r="GM46" s="448"/>
    </row>
    <row r="47" spans="1:195" ht="13.5" customHeight="1" thickBot="1">
      <c r="A47" s="48">
        <f t="shared" si="7"/>
        <v>0</v>
      </c>
      <c r="D47" s="54">
        <f t="shared" si="8"/>
        <v>0</v>
      </c>
      <c r="H47" t="s">
        <v>297</v>
      </c>
      <c r="J47" s="294"/>
      <c r="K47" s="244" t="s">
        <v>35</v>
      </c>
      <c r="L47" s="452"/>
      <c r="O47" s="522" t="s">
        <v>353</v>
      </c>
      <c r="P47" s="522"/>
      <c r="Q47" s="522"/>
      <c r="R47" s="522"/>
      <c r="S47" s="522"/>
      <c r="U47" s="6" t="s">
        <v>338</v>
      </c>
      <c r="V47" s="184">
        <f>AC47</f>
        <v>0</v>
      </c>
      <c r="AC47" s="150">
        <f>IF(N46&gt;0,V33*0.2,0)</f>
        <v>0</v>
      </c>
      <c r="GM47" s="448"/>
    </row>
    <row r="48" spans="1:195" ht="13.5" customHeight="1" thickBot="1">
      <c r="A48" s="48">
        <f t="shared" si="7"/>
        <v>0</v>
      </c>
      <c r="D48" s="54">
        <f t="shared" si="8"/>
        <v>0</v>
      </c>
      <c r="H48" t="s">
        <v>297</v>
      </c>
      <c r="J48" s="294"/>
      <c r="K48" s="244" t="s">
        <v>39</v>
      </c>
      <c r="L48" s="452"/>
      <c r="O48" s="522"/>
      <c r="P48" s="522"/>
      <c r="Q48" s="522"/>
      <c r="R48" s="522"/>
      <c r="S48" s="522"/>
      <c r="U48" s="6" t="s">
        <v>339</v>
      </c>
      <c r="V48" s="184">
        <f>AC48</f>
        <v>0</v>
      </c>
      <c r="AC48" s="150">
        <f>IF(N46&gt;0,V34*0.2,0)</f>
        <v>0</v>
      </c>
      <c r="AQ48" s="238"/>
      <c r="AR48" s="237"/>
      <c r="AS48" s="238"/>
      <c r="AV48" s="238"/>
      <c r="AX48" s="238"/>
      <c r="GM48" s="448"/>
    </row>
    <row r="49" spans="1:195" ht="13.5" customHeight="1" thickBot="1">
      <c r="A49" s="48">
        <f t="shared" si="7"/>
        <v>0</v>
      </c>
      <c r="D49" s="54">
        <f t="shared" si="8"/>
        <v>0</v>
      </c>
      <c r="H49" t="s">
        <v>297</v>
      </c>
      <c r="J49" s="294"/>
      <c r="K49" s="244" t="s">
        <v>40</v>
      </c>
      <c r="L49" s="452"/>
      <c r="U49" s="6"/>
      <c r="AC49" s="185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GM49" s="448"/>
    </row>
    <row r="50" spans="1:195" ht="13.5" customHeight="1" thickBot="1">
      <c r="A50" s="48">
        <f t="shared" si="7"/>
        <v>0</v>
      </c>
      <c r="D50" s="54">
        <f t="shared" si="8"/>
        <v>0</v>
      </c>
      <c r="H50" t="s">
        <v>298</v>
      </c>
      <c r="J50" s="294"/>
      <c r="K50" s="244" t="s">
        <v>41</v>
      </c>
      <c r="L50" s="452"/>
      <c r="U50" s="6"/>
      <c r="AC50" s="145"/>
      <c r="AQ50" s="238"/>
      <c r="AR50" s="237"/>
      <c r="AS50" s="238"/>
      <c r="AV50" s="238"/>
      <c r="AX50" s="238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GM50" s="448"/>
    </row>
    <row r="51" spans="1:195" ht="13.5" customHeight="1" thickBot="1">
      <c r="A51" s="48">
        <f t="shared" si="7"/>
        <v>0</v>
      </c>
      <c r="D51" s="54">
        <f t="shared" si="8"/>
        <v>0</v>
      </c>
      <c r="H51" t="s">
        <v>298</v>
      </c>
      <c r="J51" s="294"/>
      <c r="K51" s="244" t="s">
        <v>42</v>
      </c>
      <c r="L51" s="452"/>
      <c r="N51" s="294"/>
      <c r="O51" t="s">
        <v>309</v>
      </c>
      <c r="P51" s="152" t="s">
        <v>149</v>
      </c>
      <c r="U51" s="6"/>
      <c r="AC51" s="186"/>
      <c r="GM51" s="448"/>
    </row>
    <row r="52" spans="1:195" ht="13.5" customHeight="1" thickBot="1">
      <c r="A52" s="48">
        <f t="shared" si="7"/>
        <v>0</v>
      </c>
      <c r="D52" s="54">
        <f t="shared" si="8"/>
        <v>0</v>
      </c>
      <c r="H52" t="s">
        <v>298</v>
      </c>
      <c r="J52" s="294"/>
      <c r="K52" s="244" t="s">
        <v>43</v>
      </c>
      <c r="L52" s="453"/>
      <c r="O52" s="524" t="s">
        <v>354</v>
      </c>
      <c r="P52" s="524"/>
      <c r="Q52" s="524"/>
      <c r="R52" s="524"/>
      <c r="S52" s="524"/>
      <c r="U52" s="6" t="s">
        <v>338</v>
      </c>
      <c r="V52" s="184">
        <f>AC52</f>
        <v>0</v>
      </c>
      <c r="AC52" s="150">
        <f>IF(N51&gt;0,V33*0.5,0)</f>
        <v>0</v>
      </c>
      <c r="AN52" s="3"/>
      <c r="AO52" s="3"/>
      <c r="AP52" s="3"/>
      <c r="AQ52" s="246"/>
      <c r="AR52" s="237"/>
      <c r="AS52" s="246"/>
      <c r="AT52" s="3"/>
      <c r="AU52" s="3"/>
      <c r="AV52" s="246"/>
      <c r="AW52" s="3"/>
      <c r="AX52" s="246"/>
      <c r="AY52" s="3"/>
      <c r="AZ52" s="3"/>
      <c r="GM52" s="448"/>
    </row>
    <row r="53" spans="1:195" ht="13.5" customHeight="1" thickBot="1">
      <c r="A53" s="48">
        <f t="shared" si="7"/>
        <v>0</v>
      </c>
      <c r="D53" s="54">
        <f t="shared" si="8"/>
        <v>0</v>
      </c>
      <c r="H53" t="s">
        <v>298</v>
      </c>
      <c r="J53" s="294"/>
      <c r="K53" s="244" t="s">
        <v>44</v>
      </c>
      <c r="O53" s="524"/>
      <c r="P53" s="524"/>
      <c r="Q53" s="524"/>
      <c r="R53" s="524"/>
      <c r="S53" s="524"/>
      <c r="U53" s="6" t="s">
        <v>339</v>
      </c>
      <c r="V53" s="184">
        <f>AC53</f>
        <v>0</v>
      </c>
      <c r="AC53" s="150">
        <f>IF(N51&gt;0,V34*0.5,0)</f>
        <v>0</v>
      </c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GM53" s="448"/>
    </row>
    <row r="54" spans="1:195" ht="13.5" thickBot="1">
      <c r="A54" s="48">
        <f t="shared" si="7"/>
        <v>0</v>
      </c>
      <c r="D54" s="54">
        <f t="shared" si="8"/>
        <v>0</v>
      </c>
      <c r="H54" t="s">
        <v>298</v>
      </c>
      <c r="J54" s="294"/>
      <c r="K54" s="244" t="s">
        <v>45</v>
      </c>
      <c r="U54" s="6"/>
      <c r="AC54" s="185"/>
      <c r="AN54" s="3"/>
      <c r="AO54" s="3"/>
      <c r="AP54" s="3"/>
      <c r="AQ54" s="246"/>
      <c r="AR54" s="237"/>
      <c r="AS54" s="246"/>
      <c r="AT54" s="3"/>
      <c r="AU54" s="3"/>
      <c r="AV54" s="246"/>
      <c r="AW54" s="3"/>
      <c r="AX54" s="246"/>
      <c r="AY54" s="3"/>
      <c r="AZ54" s="3"/>
      <c r="GM54" s="448"/>
    </row>
    <row r="55" spans="1:195" ht="13.5" thickBot="1">
      <c r="A55" s="48">
        <f t="shared" si="7"/>
        <v>0</v>
      </c>
      <c r="D55" s="54">
        <f t="shared" si="8"/>
        <v>0</v>
      </c>
      <c r="H55" t="s">
        <v>298</v>
      </c>
      <c r="J55" s="294"/>
      <c r="K55" s="244" t="s">
        <v>47</v>
      </c>
      <c r="U55" s="6"/>
      <c r="AC55" s="145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240"/>
      <c r="AZ55" s="3"/>
      <c r="GM55" s="448"/>
    </row>
    <row r="56" spans="1:195" ht="13.5" thickBot="1">
      <c r="A56" s="48">
        <f t="shared" si="7"/>
        <v>0</v>
      </c>
      <c r="D56" s="54">
        <f t="shared" si="8"/>
        <v>0</v>
      </c>
      <c r="H56" t="s">
        <v>298</v>
      </c>
      <c r="J56" s="294"/>
      <c r="K56" s="244" t="s">
        <v>50</v>
      </c>
      <c r="N56" s="294"/>
      <c r="O56" t="s">
        <v>309</v>
      </c>
      <c r="P56" s="152" t="s">
        <v>307</v>
      </c>
      <c r="U56" s="6"/>
      <c r="AC56" s="186"/>
      <c r="GM56" s="448"/>
    </row>
    <row r="57" spans="1:195" ht="14.25" customHeight="1" thickBot="1">
      <c r="A57" s="48">
        <f t="shared" si="7"/>
        <v>0</v>
      </c>
      <c r="D57" s="54">
        <f t="shared" si="8"/>
        <v>0</v>
      </c>
      <c r="H57" t="s">
        <v>298</v>
      </c>
      <c r="J57" s="294"/>
      <c r="K57" s="244" t="s">
        <v>58</v>
      </c>
      <c r="O57" s="522" t="s">
        <v>355</v>
      </c>
      <c r="P57" s="523"/>
      <c r="Q57" s="523"/>
      <c r="R57" s="523"/>
      <c r="S57" s="523"/>
      <c r="U57" s="6" t="s">
        <v>338</v>
      </c>
      <c r="V57" s="184">
        <f>AC57</f>
        <v>0</v>
      </c>
      <c r="AC57" s="150">
        <f>IF(N56&gt;0,V33*0.3,0)</f>
        <v>0</v>
      </c>
      <c r="GM57" s="448"/>
    </row>
    <row r="58" spans="1:195" ht="15" customHeight="1" thickBot="1">
      <c r="A58" s="48">
        <f t="shared" si="7"/>
        <v>0</v>
      </c>
      <c r="D58" s="54">
        <f t="shared" si="8"/>
        <v>0</v>
      </c>
      <c r="H58" t="s">
        <v>299</v>
      </c>
      <c r="J58" s="294"/>
      <c r="K58" s="244" t="s">
        <v>60</v>
      </c>
      <c r="O58" s="523"/>
      <c r="P58" s="523"/>
      <c r="Q58" s="523"/>
      <c r="R58" s="523"/>
      <c r="S58" s="523"/>
      <c r="U58" s="6" t="s">
        <v>339</v>
      </c>
      <c r="V58" s="184">
        <f>AC58</f>
        <v>0</v>
      </c>
      <c r="AC58" s="150">
        <f>IF(N56&gt;0,V34*0.3,0)</f>
        <v>0</v>
      </c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GM58" s="448"/>
    </row>
    <row r="59" spans="4:195" ht="12.75">
      <c r="D59" s="54">
        <f>SUM(D35:D58)</f>
        <v>0</v>
      </c>
      <c r="AC59" s="159"/>
      <c r="AX59" s="3"/>
      <c r="AY59" s="3"/>
      <c r="AZ59" s="240"/>
      <c r="BA59" s="240"/>
      <c r="BB59" s="240"/>
      <c r="BC59" s="240"/>
      <c r="BD59" s="240"/>
      <c r="BE59" s="240"/>
      <c r="BF59" s="240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GM59" s="448"/>
    </row>
    <row r="60" spans="29:195" ht="13.5" thickBot="1">
      <c r="AC60" s="50"/>
      <c r="AX60" s="3"/>
      <c r="AY60" s="3"/>
      <c r="AZ60" s="240"/>
      <c r="BA60" s="240"/>
      <c r="BB60" s="240"/>
      <c r="BC60" s="240"/>
      <c r="BD60" s="240"/>
      <c r="BE60" s="240"/>
      <c r="BF60" s="240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GM60" s="448"/>
    </row>
    <row r="61" spans="14:195" ht="13.5" thickBot="1">
      <c r="N61" s="294"/>
      <c r="O61" t="s">
        <v>309</v>
      </c>
      <c r="P61" s="152" t="s">
        <v>82</v>
      </c>
      <c r="AC61" s="50"/>
      <c r="AX61" s="3"/>
      <c r="AY61" s="3"/>
      <c r="AZ61" s="240"/>
      <c r="BA61" s="240"/>
      <c r="BB61" s="240"/>
      <c r="BC61" s="240"/>
      <c r="BD61" s="240"/>
      <c r="BE61" s="240"/>
      <c r="BF61" s="240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GM61" s="448"/>
    </row>
    <row r="62" spans="15:195" ht="12.75">
      <c r="O62" s="522" t="s">
        <v>85</v>
      </c>
      <c r="P62" s="522"/>
      <c r="Q62" s="522"/>
      <c r="R62" s="522"/>
      <c r="S62" s="522"/>
      <c r="U62" s="6" t="s">
        <v>338</v>
      </c>
      <c r="V62" s="256">
        <f>AC62</f>
        <v>0</v>
      </c>
      <c r="AC62" s="150">
        <f>IF($N$61&gt;0,V33*0.2,0)</f>
        <v>0</v>
      </c>
      <c r="AX62" s="3"/>
      <c r="AY62" s="3"/>
      <c r="AZ62" s="240"/>
      <c r="BA62" s="240"/>
      <c r="BB62" s="240"/>
      <c r="BC62" s="240"/>
      <c r="BD62" s="240"/>
      <c r="BE62" s="240"/>
      <c r="BF62" s="240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GM62" s="448"/>
    </row>
    <row r="63" spans="15:195" ht="12.75">
      <c r="O63" s="522"/>
      <c r="P63" s="522"/>
      <c r="Q63" s="522"/>
      <c r="R63" s="522"/>
      <c r="S63" s="522"/>
      <c r="U63" s="6" t="s">
        <v>339</v>
      </c>
      <c r="V63" s="256">
        <f>AC63</f>
        <v>0</v>
      </c>
      <c r="AC63" s="150">
        <f>IF($N$61&gt;0,V34*0.2,0)</f>
        <v>0</v>
      </c>
      <c r="AX63" s="3"/>
      <c r="AY63" s="3"/>
      <c r="AZ63" s="240"/>
      <c r="BA63" s="240"/>
      <c r="BB63" s="240"/>
      <c r="BC63" s="240"/>
      <c r="BD63" s="240"/>
      <c r="BE63" s="240"/>
      <c r="BF63" s="240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GM63" s="448"/>
    </row>
    <row r="64" spans="15:195" ht="12.75">
      <c r="O64" s="255"/>
      <c r="P64" s="255"/>
      <c r="Q64" s="255"/>
      <c r="R64" s="255"/>
      <c r="S64" s="255"/>
      <c r="U64" s="6"/>
      <c r="V64" s="3"/>
      <c r="AC64" s="50"/>
      <c r="AX64" s="3"/>
      <c r="AY64" s="3"/>
      <c r="AZ64" s="240"/>
      <c r="BA64" s="240"/>
      <c r="BB64" s="240"/>
      <c r="BC64" s="240"/>
      <c r="BD64" s="240"/>
      <c r="BE64" s="240"/>
      <c r="BF64" s="240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GM64" s="448"/>
    </row>
    <row r="65" spans="15:195" ht="13.5" thickBot="1">
      <c r="O65" s="255"/>
      <c r="P65" s="255"/>
      <c r="Q65" s="255"/>
      <c r="R65" s="255"/>
      <c r="S65" s="255"/>
      <c r="U65" s="6"/>
      <c r="V65" s="3"/>
      <c r="AC65" s="50"/>
      <c r="AX65" s="3"/>
      <c r="AY65" s="3"/>
      <c r="AZ65" s="240"/>
      <c r="BA65" s="240"/>
      <c r="BB65" s="240"/>
      <c r="BC65" s="240"/>
      <c r="BD65" s="240"/>
      <c r="BE65" s="240"/>
      <c r="BF65" s="240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GM65" s="448"/>
    </row>
    <row r="66" spans="14:195" ht="13.5" thickBot="1">
      <c r="N66" s="294"/>
      <c r="O66" t="s">
        <v>309</v>
      </c>
      <c r="P66" s="152" t="s">
        <v>83</v>
      </c>
      <c r="Q66" s="255"/>
      <c r="R66" s="255"/>
      <c r="S66" s="255"/>
      <c r="U66" s="6"/>
      <c r="V66" s="3"/>
      <c r="AC66" s="50"/>
      <c r="AX66" s="3"/>
      <c r="AY66" s="3"/>
      <c r="AZ66" s="240"/>
      <c r="BA66" s="240"/>
      <c r="BB66" s="240"/>
      <c r="BC66" s="240"/>
      <c r="BD66" s="240"/>
      <c r="BE66" s="240"/>
      <c r="BF66" s="240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GM66" s="448"/>
    </row>
    <row r="67" spans="15:195" ht="12.75">
      <c r="O67" s="522" t="s">
        <v>84</v>
      </c>
      <c r="P67" s="522"/>
      <c r="Q67" s="522"/>
      <c r="R67" s="522"/>
      <c r="S67" s="522"/>
      <c r="AC67" s="50"/>
      <c r="AX67" s="3"/>
      <c r="AY67" s="3"/>
      <c r="AZ67" s="240"/>
      <c r="BA67" s="240"/>
      <c r="BB67" s="240"/>
      <c r="BC67" s="240"/>
      <c r="BD67" s="240"/>
      <c r="BE67" s="240"/>
      <c r="BF67" s="240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GM67" s="448"/>
    </row>
    <row r="68" spans="15:195" ht="12.75">
      <c r="O68" s="522"/>
      <c r="P68" s="522"/>
      <c r="Q68" s="522"/>
      <c r="R68" s="522"/>
      <c r="S68" s="522"/>
      <c r="AC68" s="50"/>
      <c r="AX68" s="3"/>
      <c r="AY68" s="3"/>
      <c r="AZ68" s="240"/>
      <c r="BA68" s="240"/>
      <c r="BB68" s="240"/>
      <c r="BC68" s="240"/>
      <c r="BD68" s="240"/>
      <c r="BE68" s="240"/>
      <c r="BF68" s="240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GM68" s="448"/>
    </row>
    <row r="69" spans="12:195" ht="12.75">
      <c r="L69" s="235"/>
      <c r="O69" s="522"/>
      <c r="P69" s="522"/>
      <c r="Q69" s="522"/>
      <c r="R69" s="522"/>
      <c r="S69" s="522"/>
      <c r="U69" s="6" t="s">
        <v>338</v>
      </c>
      <c r="V69" s="256">
        <f>AC69</f>
        <v>0</v>
      </c>
      <c r="AC69" s="150">
        <f>IF($N$66&gt;0,V33*0.35,0)</f>
        <v>0</v>
      </c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GM69" s="448"/>
    </row>
    <row r="70" spans="12:195" ht="12.75">
      <c r="L70" s="235"/>
      <c r="O70" s="522"/>
      <c r="P70" s="522"/>
      <c r="Q70" s="522"/>
      <c r="R70" s="522"/>
      <c r="S70" s="522"/>
      <c r="U70" s="6" t="s">
        <v>339</v>
      </c>
      <c r="V70" s="256">
        <f>AC70</f>
        <v>0</v>
      </c>
      <c r="AC70" s="150">
        <f>IF($N$66&gt;0,V34*0.35,0)</f>
        <v>0</v>
      </c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GM70" s="448"/>
    </row>
    <row r="71" spans="12:195" ht="12.75">
      <c r="L71" s="235"/>
      <c r="O71" s="253"/>
      <c r="P71" s="253"/>
      <c r="Q71" s="253"/>
      <c r="R71" s="253"/>
      <c r="S71" s="253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GM71" s="448"/>
    </row>
    <row r="72" spans="12:195" ht="13.5" thickBot="1">
      <c r="L72" s="235"/>
      <c r="O72" s="253"/>
      <c r="P72" s="253"/>
      <c r="Q72" s="253"/>
      <c r="R72" s="253"/>
      <c r="S72" s="253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GM72" s="448"/>
    </row>
    <row r="73" spans="12:195" ht="15" customHeight="1" thickBot="1">
      <c r="L73" s="270"/>
      <c r="N73" s="294"/>
      <c r="O73" t="s">
        <v>309</v>
      </c>
      <c r="P73" s="152" t="s">
        <v>349</v>
      </c>
      <c r="Q73" s="152"/>
      <c r="R73" s="152"/>
      <c r="S73" s="152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GM73" s="448"/>
    </row>
    <row r="74" spans="12:195" ht="14.25" customHeight="1">
      <c r="L74" s="235"/>
      <c r="O74" s="522" t="s">
        <v>510</v>
      </c>
      <c r="P74" s="522"/>
      <c r="Q74" s="522"/>
      <c r="R74" s="522"/>
      <c r="S74" s="522"/>
      <c r="U74" s="6" t="s">
        <v>338</v>
      </c>
      <c r="V74" s="256">
        <f>AC74</f>
        <v>0</v>
      </c>
      <c r="AC74" s="150">
        <f>IF(N73&gt;0,V33*0.2,0)</f>
        <v>0</v>
      </c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GM74" s="448"/>
    </row>
    <row r="75" spans="12:195" ht="14.25" customHeight="1">
      <c r="L75" s="235"/>
      <c r="O75" s="255"/>
      <c r="P75" s="255"/>
      <c r="Q75" s="255"/>
      <c r="R75" s="255"/>
      <c r="S75" s="255"/>
      <c r="U75" s="6" t="s">
        <v>339</v>
      </c>
      <c r="V75" s="256">
        <f>AC75</f>
        <v>0</v>
      </c>
      <c r="AC75" s="150">
        <f>IF(N73&gt;0,V34*0.2,0)</f>
        <v>0</v>
      </c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GM75" s="448"/>
    </row>
    <row r="76" spans="12:195" ht="14.25" customHeight="1">
      <c r="L76" s="235"/>
      <c r="O76" s="255"/>
      <c r="P76" s="255"/>
      <c r="Q76" s="255"/>
      <c r="R76" s="255"/>
      <c r="S76" s="255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GM76" s="448"/>
    </row>
    <row r="77" spans="12:195" ht="12.75" hidden="1">
      <c r="L77" s="235"/>
      <c r="O77" s="253"/>
      <c r="P77" s="253"/>
      <c r="Q77" s="253"/>
      <c r="R77" s="253"/>
      <c r="S77" s="253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GM77" s="448"/>
    </row>
    <row r="78" spans="43:195" ht="12.75"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GM78" s="448"/>
    </row>
    <row r="79" spans="21:195" ht="12.75">
      <c r="U79" s="290" t="s">
        <v>310</v>
      </c>
      <c r="V79" s="271">
        <f>V33-AC47-AC52-AC57-AC62-AC69-AC74</f>
        <v>0</v>
      </c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GM79" s="448"/>
    </row>
    <row r="80" spans="21:195" ht="12.75">
      <c r="U80" s="290" t="s">
        <v>311</v>
      </c>
      <c r="V80" s="271">
        <f>V34-AC43-AC48-AC53-AC58-AC63-AC70-AC75</f>
        <v>0</v>
      </c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GM80" s="448"/>
    </row>
    <row r="81" spans="43:195" ht="12.75" hidden="1">
      <c r="AQ81" s="240"/>
      <c r="AR81" s="240"/>
      <c r="AS81" s="240"/>
      <c r="AT81" s="240"/>
      <c r="AU81" s="240"/>
      <c r="AV81" s="240"/>
      <c r="AW81" s="240"/>
      <c r="AX81" s="240"/>
      <c r="AY81" s="3"/>
      <c r="AZ81" s="3"/>
      <c r="BA81" s="3"/>
      <c r="BB81" s="3"/>
      <c r="BC81" s="209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209"/>
      <c r="BV81" s="3"/>
      <c r="BW81" s="3"/>
      <c r="BX81" s="3"/>
      <c r="BY81" s="3"/>
      <c r="BZ81" s="3"/>
      <c r="CA81" s="3"/>
      <c r="CB81" s="3"/>
      <c r="GM81" s="448"/>
    </row>
    <row r="82" spans="43:195" ht="12.75">
      <c r="AQ82" s="240"/>
      <c r="AR82" s="240"/>
      <c r="AS82" s="240"/>
      <c r="AT82" s="240"/>
      <c r="AU82" s="240"/>
      <c r="AV82" s="240"/>
      <c r="AW82" s="240"/>
      <c r="AX82" s="240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GM82" s="448"/>
    </row>
    <row r="83" spans="10:195" ht="12.75">
      <c r="J83" s="62"/>
      <c r="K83" s="244"/>
      <c r="AX83" s="3"/>
      <c r="AY83" s="209"/>
      <c r="AZ83" s="209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09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3"/>
      <c r="CB83" s="3"/>
      <c r="GM83" s="448"/>
    </row>
    <row r="84" spans="10:195" ht="12.75">
      <c r="J84" s="1"/>
      <c r="K84" s="244"/>
      <c r="AX84" s="3"/>
      <c r="AY84" s="209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3"/>
      <c r="CB84" s="3"/>
      <c r="GM84" s="448"/>
    </row>
    <row r="85" spans="16:195" ht="12.75">
      <c r="P85" s="79"/>
      <c r="S85" s="62" t="s">
        <v>173</v>
      </c>
      <c r="U85" t="s">
        <v>8</v>
      </c>
      <c r="V85" s="247">
        <f>AR37+AW37</f>
        <v>0</v>
      </c>
      <c r="AX85" s="3"/>
      <c r="AY85" s="222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3"/>
      <c r="CA85" s="3"/>
      <c r="CB85" s="3"/>
      <c r="GM85" s="448"/>
    </row>
    <row r="86" spans="21:195" ht="12.75">
      <c r="U86" t="s">
        <v>206</v>
      </c>
      <c r="V86" s="247">
        <f>AT37+AY37</f>
        <v>0</v>
      </c>
      <c r="AX86" s="3"/>
      <c r="AY86" s="3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3"/>
      <c r="CB86" s="3"/>
      <c r="GM86" s="448"/>
    </row>
    <row r="87" spans="19:195" ht="12.75">
      <c r="S87" s="2" t="s">
        <v>421</v>
      </c>
      <c r="AX87" s="3"/>
      <c r="AY87" s="222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3"/>
      <c r="CB87" s="3"/>
      <c r="GM87" s="448"/>
    </row>
    <row r="88" spans="15:195" ht="12.75">
      <c r="O88" s="10"/>
      <c r="P88" s="79"/>
      <c r="Q88" s="3"/>
      <c r="R88" s="3"/>
      <c r="S88" s="2" t="s">
        <v>356</v>
      </c>
      <c r="T88" s="3"/>
      <c r="U88" s="3"/>
      <c r="V88" s="246"/>
      <c r="AX88" s="3"/>
      <c r="AY88" s="3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3"/>
      <c r="CB88" s="3"/>
      <c r="GM88" s="448"/>
    </row>
    <row r="89" spans="15:195" ht="12.75">
      <c r="O89" s="10"/>
      <c r="P89" s="3"/>
      <c r="Q89" s="3"/>
      <c r="R89" s="3"/>
      <c r="S89" s="3"/>
      <c r="T89" s="3"/>
      <c r="U89" s="3"/>
      <c r="V89" s="246"/>
      <c r="AX89" s="3"/>
      <c r="AY89" s="222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3"/>
      <c r="CB89" s="3"/>
      <c r="GM89" s="448"/>
    </row>
    <row r="90" spans="15:195" ht="12.75">
      <c r="O90" s="10"/>
      <c r="P90" s="3"/>
      <c r="Q90" s="3"/>
      <c r="R90" s="3"/>
      <c r="S90" s="3"/>
      <c r="T90" s="3"/>
      <c r="U90" s="3"/>
      <c r="V90" s="3"/>
      <c r="AX90" s="3"/>
      <c r="AY90" s="3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  <c r="BW90" s="240"/>
      <c r="BX90" s="240"/>
      <c r="BY90" s="240"/>
      <c r="BZ90" s="240"/>
      <c r="CA90" s="3"/>
      <c r="CB90" s="3"/>
      <c r="GM90" s="448"/>
    </row>
    <row r="91" spans="50:80" ht="12.75">
      <c r="AX91" s="3"/>
      <c r="AY91" s="222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3"/>
      <c r="CB91" s="3"/>
    </row>
    <row r="92" spans="50:80" ht="12.75">
      <c r="AX92" s="3"/>
      <c r="AY92" s="3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3"/>
      <c r="CB92" s="3"/>
    </row>
    <row r="93" spans="50:80" ht="12.75">
      <c r="AX93" s="3"/>
      <c r="AY93" s="222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3"/>
      <c r="CB93" s="3"/>
    </row>
    <row r="94" spans="50:80" ht="12.75">
      <c r="AX94" s="3"/>
      <c r="AY94" s="3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  <c r="BQ94" s="240"/>
      <c r="BR94" s="240"/>
      <c r="BS94" s="240"/>
      <c r="BT94" s="240"/>
      <c r="BU94" s="240"/>
      <c r="BV94" s="240"/>
      <c r="BW94" s="240"/>
      <c r="BX94" s="240"/>
      <c r="BY94" s="240"/>
      <c r="BZ94" s="240"/>
      <c r="CA94" s="3"/>
      <c r="CB94" s="3"/>
    </row>
    <row r="95" spans="50:80" ht="12.75">
      <c r="AX95" s="3"/>
      <c r="AY95" s="222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  <c r="BQ95" s="240"/>
      <c r="BR95" s="240"/>
      <c r="BS95" s="240"/>
      <c r="BT95" s="240"/>
      <c r="BU95" s="240"/>
      <c r="BV95" s="240"/>
      <c r="BW95" s="240"/>
      <c r="BX95" s="240"/>
      <c r="BY95" s="240"/>
      <c r="BZ95" s="240"/>
      <c r="CA95" s="3"/>
      <c r="CB95" s="3"/>
    </row>
    <row r="96" spans="50:80" ht="12.75">
      <c r="AX96" s="3"/>
      <c r="AY96" s="3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3"/>
      <c r="CB96" s="3"/>
    </row>
    <row r="97" spans="50:80" ht="12.75">
      <c r="AX97" s="3"/>
      <c r="AY97" s="222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3"/>
      <c r="CB97" s="3"/>
    </row>
    <row r="98" spans="50:80" ht="12.75">
      <c r="AX98" s="3"/>
      <c r="AY98" s="3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3"/>
      <c r="CB98" s="3"/>
    </row>
    <row r="99" spans="50:80" ht="12.75">
      <c r="AX99" s="3"/>
      <c r="AY99" s="222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3"/>
      <c r="CB99" s="3"/>
    </row>
    <row r="100" spans="50:80" ht="12.75">
      <c r="AX100" s="3"/>
      <c r="AY100" s="3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240"/>
      <c r="BZ100" s="240"/>
      <c r="CA100" s="3"/>
      <c r="CB100" s="3"/>
    </row>
    <row r="101" spans="50:80" ht="12.75">
      <c r="AX101" s="3"/>
      <c r="AY101" s="222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3"/>
      <c r="CB101" s="3"/>
    </row>
    <row r="102" spans="50:80" ht="12.75">
      <c r="AX102" s="3"/>
      <c r="AY102" s="3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  <c r="BW102" s="240"/>
      <c r="BX102" s="240"/>
      <c r="BY102" s="240"/>
      <c r="BZ102" s="240"/>
      <c r="CA102" s="3"/>
      <c r="CB102" s="3"/>
    </row>
    <row r="103" spans="50:80" ht="12.75">
      <c r="AX103" s="3"/>
      <c r="AY103" s="222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0"/>
      <c r="BZ103" s="240"/>
      <c r="CA103" s="3"/>
      <c r="CB103" s="3"/>
    </row>
    <row r="104" spans="50:80" ht="12.75">
      <c r="AX104" s="3"/>
      <c r="AY104" s="3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3"/>
      <c r="CB104" s="3"/>
    </row>
    <row r="105" spans="50:80" ht="12.75">
      <c r="AX105" s="3"/>
      <c r="AY105" s="222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3"/>
      <c r="CB105" s="3"/>
    </row>
    <row r="106" spans="50:80" ht="12.75">
      <c r="AX106" s="3"/>
      <c r="AY106" s="3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3"/>
      <c r="CB106" s="3"/>
    </row>
    <row r="107" spans="50:80" ht="12.75">
      <c r="AX107" s="3"/>
      <c r="AY107" s="222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3"/>
      <c r="CB107" s="3"/>
    </row>
    <row r="108" spans="50:80" ht="12.75">
      <c r="AX108" s="3"/>
      <c r="AY108" s="3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  <c r="BZ108" s="240"/>
      <c r="CA108" s="3"/>
      <c r="CB108" s="3"/>
    </row>
    <row r="109" spans="50:80" ht="12.75">
      <c r="AX109" s="3"/>
      <c r="AY109" s="222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  <c r="BW109" s="240"/>
      <c r="BX109" s="240"/>
      <c r="BY109" s="240"/>
      <c r="BZ109" s="240"/>
      <c r="CA109" s="3"/>
      <c r="CB109" s="3"/>
    </row>
    <row r="110" spans="50:80" ht="12.75">
      <c r="AX110" s="3"/>
      <c r="AY110" s="3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240"/>
      <c r="CA110" s="3"/>
      <c r="CB110" s="3"/>
    </row>
    <row r="111" spans="50:80" ht="12.75">
      <c r="AX111" s="3"/>
      <c r="AY111" s="222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  <c r="BW111" s="240"/>
      <c r="BX111" s="240"/>
      <c r="BY111" s="240"/>
      <c r="BZ111" s="240"/>
      <c r="CA111" s="3"/>
      <c r="CB111" s="3"/>
    </row>
    <row r="112" spans="50:80" ht="12.75">
      <c r="AX112" s="3"/>
      <c r="AY112" s="3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3"/>
      <c r="CB112" s="3"/>
    </row>
    <row r="113" spans="50:80" ht="12.75">
      <c r="AX113" s="3"/>
      <c r="AY113" s="222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3"/>
      <c r="CB113" s="3"/>
    </row>
    <row r="114" spans="50:80" ht="12.75">
      <c r="AX114" s="3"/>
      <c r="AY114" s="3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  <c r="BQ114" s="240"/>
      <c r="BR114" s="240"/>
      <c r="BS114" s="240"/>
      <c r="BT114" s="240"/>
      <c r="BU114" s="240"/>
      <c r="BV114" s="240"/>
      <c r="BW114" s="240"/>
      <c r="BX114" s="240"/>
      <c r="BY114" s="240"/>
      <c r="BZ114" s="240"/>
      <c r="CA114" s="3"/>
      <c r="CB114" s="3"/>
    </row>
    <row r="115" spans="50:80" ht="12.75">
      <c r="AX115" s="3"/>
      <c r="AY115" s="222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3"/>
      <c r="CB115" s="3"/>
    </row>
    <row r="116" spans="50:80" ht="12.75">
      <c r="AX116" s="3"/>
      <c r="AY116" s="3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3"/>
      <c r="CB116" s="3"/>
    </row>
    <row r="117" spans="50:80" ht="12.75">
      <c r="AX117" s="3"/>
      <c r="AY117" s="222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3"/>
      <c r="CB117" s="3"/>
    </row>
    <row r="118" spans="50:80" ht="12.75">
      <c r="AX118" s="3"/>
      <c r="AY118" s="3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3"/>
      <c r="CB118" s="3"/>
    </row>
    <row r="119" spans="50:80" ht="12.75">
      <c r="AX119" s="3"/>
      <c r="AY119" s="222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3"/>
      <c r="CB119" s="3"/>
    </row>
    <row r="120" spans="50:80" ht="12.75">
      <c r="AX120" s="3"/>
      <c r="AY120" s="3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240"/>
      <c r="BX120" s="240"/>
      <c r="BY120" s="240"/>
      <c r="BZ120" s="240"/>
      <c r="CA120" s="3"/>
      <c r="CB120" s="3"/>
    </row>
    <row r="121" spans="50:80" ht="12.75">
      <c r="AX121" s="3"/>
      <c r="AY121" s="222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  <c r="BQ121" s="240"/>
      <c r="BR121" s="240"/>
      <c r="BS121" s="240"/>
      <c r="BT121" s="240"/>
      <c r="BU121" s="240"/>
      <c r="BV121" s="240"/>
      <c r="BW121" s="240"/>
      <c r="BX121" s="240"/>
      <c r="BY121" s="240"/>
      <c r="BZ121" s="240"/>
      <c r="CA121" s="3"/>
      <c r="CB121" s="3"/>
    </row>
    <row r="122" spans="50:80" ht="12.75">
      <c r="AX122" s="3"/>
      <c r="AY122" s="215"/>
      <c r="AZ122" s="240"/>
      <c r="BA122" s="240"/>
      <c r="BB122" s="240"/>
      <c r="BC122" s="240"/>
      <c r="BD122" s="240"/>
      <c r="BE122" s="240"/>
      <c r="BF122" s="240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  <c r="BQ122" s="240"/>
      <c r="BR122" s="240"/>
      <c r="BS122" s="240"/>
      <c r="BT122" s="240"/>
      <c r="BU122" s="240"/>
      <c r="BV122" s="240"/>
      <c r="BW122" s="240"/>
      <c r="BX122" s="240"/>
      <c r="BY122" s="240"/>
      <c r="BZ122" s="240"/>
      <c r="CA122" s="3"/>
      <c r="CB122" s="3"/>
    </row>
    <row r="123" spans="50:80" ht="12.75">
      <c r="AX123" s="3"/>
      <c r="AY123" s="222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0"/>
      <c r="BX123" s="240"/>
      <c r="BY123" s="240"/>
      <c r="BZ123" s="240"/>
      <c r="CA123" s="3"/>
      <c r="CB123" s="3"/>
    </row>
    <row r="124" spans="50:80" ht="12.75">
      <c r="AX124" s="3"/>
      <c r="AY124" s="3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240"/>
      <c r="BJ124" s="240"/>
      <c r="BK124" s="240"/>
      <c r="BL124" s="240"/>
      <c r="BM124" s="240"/>
      <c r="BN124" s="240"/>
      <c r="BO124" s="240"/>
      <c r="BP124" s="240"/>
      <c r="BQ124" s="240"/>
      <c r="BR124" s="240"/>
      <c r="BS124" s="240"/>
      <c r="BT124" s="240"/>
      <c r="BU124" s="240"/>
      <c r="BV124" s="240"/>
      <c r="BW124" s="240"/>
      <c r="BX124" s="240"/>
      <c r="BY124" s="240"/>
      <c r="BZ124" s="240"/>
      <c r="CA124" s="3"/>
      <c r="CB124" s="3"/>
    </row>
    <row r="125" spans="50:80" ht="12.75">
      <c r="AX125" s="3"/>
      <c r="AY125" s="222"/>
      <c r="AZ125" s="240"/>
      <c r="BA125" s="240"/>
      <c r="BB125" s="240"/>
      <c r="BC125" s="240"/>
      <c r="BD125" s="240"/>
      <c r="BE125" s="240"/>
      <c r="BF125" s="240"/>
      <c r="BG125" s="240"/>
      <c r="BH125" s="240"/>
      <c r="BI125" s="240"/>
      <c r="BJ125" s="240"/>
      <c r="BK125" s="240"/>
      <c r="BL125" s="240"/>
      <c r="BM125" s="240"/>
      <c r="BN125" s="240"/>
      <c r="BO125" s="240"/>
      <c r="BP125" s="240"/>
      <c r="BQ125" s="240"/>
      <c r="BR125" s="240"/>
      <c r="BS125" s="240"/>
      <c r="BT125" s="240"/>
      <c r="BU125" s="240"/>
      <c r="BV125" s="240"/>
      <c r="BW125" s="240"/>
      <c r="BX125" s="240"/>
      <c r="BY125" s="240"/>
      <c r="BZ125" s="240"/>
      <c r="CA125" s="3"/>
      <c r="CB125" s="3"/>
    </row>
    <row r="126" spans="50:80" ht="12.75">
      <c r="AX126" s="3"/>
      <c r="AY126" s="3"/>
      <c r="AZ126" s="240"/>
      <c r="BA126" s="240"/>
      <c r="BB126" s="240"/>
      <c r="BC126" s="240"/>
      <c r="BD126" s="240"/>
      <c r="BE126" s="240"/>
      <c r="BF126" s="240"/>
      <c r="BG126" s="240"/>
      <c r="BH126" s="240"/>
      <c r="BI126" s="240"/>
      <c r="BJ126" s="240"/>
      <c r="BK126" s="240"/>
      <c r="BL126" s="240"/>
      <c r="BM126" s="240"/>
      <c r="BN126" s="240"/>
      <c r="BO126" s="240"/>
      <c r="BP126" s="240"/>
      <c r="BQ126" s="240"/>
      <c r="BR126" s="240"/>
      <c r="BS126" s="240"/>
      <c r="BT126" s="240"/>
      <c r="BU126" s="240"/>
      <c r="BV126" s="240"/>
      <c r="BW126" s="240"/>
      <c r="BX126" s="240"/>
      <c r="BY126" s="240"/>
      <c r="BZ126" s="240"/>
      <c r="CA126" s="3"/>
      <c r="CB126" s="3"/>
    </row>
    <row r="127" spans="50:80" ht="12.75">
      <c r="AX127" s="3"/>
      <c r="AY127" s="222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  <c r="BM127" s="240"/>
      <c r="BN127" s="240"/>
      <c r="BO127" s="240"/>
      <c r="BP127" s="240"/>
      <c r="BQ127" s="240"/>
      <c r="BR127" s="240"/>
      <c r="BS127" s="240"/>
      <c r="BT127" s="240"/>
      <c r="BU127" s="240"/>
      <c r="BV127" s="240"/>
      <c r="BW127" s="240"/>
      <c r="BX127" s="240"/>
      <c r="BY127" s="240"/>
      <c r="BZ127" s="240"/>
      <c r="CA127" s="3"/>
      <c r="CB127" s="3"/>
    </row>
    <row r="128" spans="50:80" ht="12.75">
      <c r="AX128" s="3"/>
      <c r="AY128" s="3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3"/>
      <c r="CB128" s="3"/>
    </row>
    <row r="129" spans="50:80" ht="12.75">
      <c r="AX129" s="3"/>
      <c r="AY129" s="222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3"/>
      <c r="CB129" s="3"/>
    </row>
    <row r="130" spans="50:80" ht="12.75">
      <c r="AX130" s="3"/>
      <c r="AY130" s="3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3"/>
      <c r="CB130" s="3"/>
    </row>
    <row r="131" spans="50:80" ht="12.75">
      <c r="AX131" s="3"/>
      <c r="AY131" s="222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3"/>
      <c r="CB131" s="3"/>
    </row>
    <row r="132" spans="50:80" ht="12.75">
      <c r="AX132" s="3"/>
      <c r="AY132" s="3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3"/>
      <c r="CB132" s="3"/>
    </row>
    <row r="133" spans="50:80" ht="12.75">
      <c r="AX133" s="3"/>
      <c r="AY133" s="3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3"/>
      <c r="CB133" s="3"/>
    </row>
    <row r="134" spans="50:80" ht="12.75">
      <c r="AX134" s="3"/>
      <c r="AY134" s="3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3"/>
      <c r="CB134" s="3"/>
    </row>
    <row r="135" spans="50:80" ht="12.75"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</sheetData>
  <sheetProtection password="8090" sheet="1" objects="1" scenarios="1"/>
  <mergeCells count="120">
    <mergeCell ref="K2:Y2"/>
    <mergeCell ref="K11:L12"/>
    <mergeCell ref="W11:Y12"/>
    <mergeCell ref="P21:P22"/>
    <mergeCell ref="M11:M12"/>
    <mergeCell ref="Y19:Y20"/>
    <mergeCell ref="P19:P20"/>
    <mergeCell ref="P13:P14"/>
    <mergeCell ref="P15:P16"/>
    <mergeCell ref="P17:P18"/>
    <mergeCell ref="S29:S30"/>
    <mergeCell ref="S15:S16"/>
    <mergeCell ref="S17:S18"/>
    <mergeCell ref="S19:S20"/>
    <mergeCell ref="S25:S26"/>
    <mergeCell ref="S21:S22"/>
    <mergeCell ref="K13:K18"/>
    <mergeCell ref="K19:K24"/>
    <mergeCell ref="S27:S28"/>
    <mergeCell ref="Y21:Y22"/>
    <mergeCell ref="Y23:Y24"/>
    <mergeCell ref="V13:V14"/>
    <mergeCell ref="V15:V16"/>
    <mergeCell ref="V17:V18"/>
    <mergeCell ref="V19:V20"/>
    <mergeCell ref="V21:V22"/>
    <mergeCell ref="K25:K30"/>
    <mergeCell ref="L19:L20"/>
    <mergeCell ref="L21:L22"/>
    <mergeCell ref="L23:L24"/>
    <mergeCell ref="L25:L26"/>
    <mergeCell ref="L29:L30"/>
    <mergeCell ref="L27:L28"/>
    <mergeCell ref="N13:N14"/>
    <mergeCell ref="N15:N16"/>
    <mergeCell ref="N17:N18"/>
    <mergeCell ref="Q15:Q16"/>
    <mergeCell ref="Q17:Q18"/>
    <mergeCell ref="Q13:Q14"/>
    <mergeCell ref="AB29:AB30"/>
    <mergeCell ref="AB15:AB16"/>
    <mergeCell ref="L13:L14"/>
    <mergeCell ref="L17:L18"/>
    <mergeCell ref="L15:L16"/>
    <mergeCell ref="P29:P30"/>
    <mergeCell ref="Q25:Q26"/>
    <mergeCell ref="N19:N20"/>
    <mergeCell ref="N21:N22"/>
    <mergeCell ref="V29:V30"/>
    <mergeCell ref="N36:O36"/>
    <mergeCell ref="N37:O37"/>
    <mergeCell ref="V23:V24"/>
    <mergeCell ref="N23:N24"/>
    <mergeCell ref="N25:N26"/>
    <mergeCell ref="N27:N28"/>
    <mergeCell ref="N29:N30"/>
    <mergeCell ref="P23:P24"/>
    <mergeCell ref="Q27:Q28"/>
    <mergeCell ref="Q23:Q24"/>
    <mergeCell ref="P25:P26"/>
    <mergeCell ref="P27:P28"/>
    <mergeCell ref="S23:S24"/>
    <mergeCell ref="AE17:AE18"/>
    <mergeCell ref="AE19:AE20"/>
    <mergeCell ref="Q19:Q20"/>
    <mergeCell ref="Q21:Q22"/>
    <mergeCell ref="AB17:AB18"/>
    <mergeCell ref="AB19:AB20"/>
    <mergeCell ref="AB21:AB22"/>
    <mergeCell ref="T21:T22"/>
    <mergeCell ref="AE13:AE14"/>
    <mergeCell ref="AE15:AE16"/>
    <mergeCell ref="AB13:AB14"/>
    <mergeCell ref="T13:T14"/>
    <mergeCell ref="T15:T16"/>
    <mergeCell ref="S13:S14"/>
    <mergeCell ref="AH13:AH14"/>
    <mergeCell ref="AH15:AH16"/>
    <mergeCell ref="AH17:AH18"/>
    <mergeCell ref="AH27:AH28"/>
    <mergeCell ref="AH21:AH22"/>
    <mergeCell ref="AH23:AH24"/>
    <mergeCell ref="AH25:AH26"/>
    <mergeCell ref="AH29:AH30"/>
    <mergeCell ref="T25:T26"/>
    <mergeCell ref="T27:T28"/>
    <mergeCell ref="T29:T30"/>
    <mergeCell ref="AE25:AE26"/>
    <mergeCell ref="AE27:AE28"/>
    <mergeCell ref="AE29:AE30"/>
    <mergeCell ref="AB25:AB26"/>
    <mergeCell ref="AB27:AB28"/>
    <mergeCell ref="V27:V28"/>
    <mergeCell ref="AK19:AK20"/>
    <mergeCell ref="AK21:AK22"/>
    <mergeCell ref="AK23:AK24"/>
    <mergeCell ref="W23:W24"/>
    <mergeCell ref="W19:W20"/>
    <mergeCell ref="AH19:AH20"/>
    <mergeCell ref="W21:W22"/>
    <mergeCell ref="AE23:AE24"/>
    <mergeCell ref="AB23:AB24"/>
    <mergeCell ref="AE21:AE22"/>
    <mergeCell ref="O74:S74"/>
    <mergeCell ref="O57:S58"/>
    <mergeCell ref="O42:S43"/>
    <mergeCell ref="O47:S48"/>
    <mergeCell ref="O52:S53"/>
    <mergeCell ref="O62:S63"/>
    <mergeCell ref="O67:S70"/>
    <mergeCell ref="L37:L43"/>
    <mergeCell ref="L46:L52"/>
    <mergeCell ref="T11:V12"/>
    <mergeCell ref="Q11:S12"/>
    <mergeCell ref="N11:P12"/>
    <mergeCell ref="V25:V26"/>
    <mergeCell ref="T23:T24"/>
    <mergeCell ref="T17:T18"/>
    <mergeCell ref="T19:T20"/>
    <mergeCell ref="Q29:Q30"/>
  </mergeCells>
  <printOptions horizontalCentered="1"/>
  <pageMargins left="0.15748031496062992" right="0.15748031496062992" top="0.3937007874015748" bottom="0.4330708661417323" header="0.1968503937007874" footer="0.2362204724409449"/>
  <pageSetup fitToHeight="1" fitToWidth="1" horizontalDpi="600" verticalDpi="600" orientation="portrait" paperSize="9" scale="65" r:id="rId1"/>
  <headerFooter alignWithMargins="0">
    <oddFooter>&amp;C&amp;12foglio "U1 e U2"&amp;R&amp;12pag.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2:Q33"/>
  <sheetViews>
    <sheetView workbookViewId="0" topLeftCell="B1">
      <selection activeCell="Z15" sqref="Z15"/>
    </sheetView>
  </sheetViews>
  <sheetFormatPr defaultColWidth="9.140625" defaultRowHeight="12.75"/>
  <cols>
    <col min="2" max="2" width="3.28125" style="0" customWidth="1"/>
    <col min="3" max="3" width="3.140625" style="0" customWidth="1"/>
    <col min="4" max="4" width="19.00390625" style="0" customWidth="1"/>
    <col min="5" max="5" width="14.8515625" style="0" customWidth="1"/>
    <col min="6" max="6" width="1.8515625" style="0" customWidth="1"/>
    <col min="8" max="8" width="1.7109375" style="0" customWidth="1"/>
    <col min="10" max="10" width="2.140625" style="0" customWidth="1"/>
    <col min="11" max="11" width="13.421875" style="0" customWidth="1"/>
    <col min="12" max="12" width="3.00390625" style="0" customWidth="1"/>
    <col min="13" max="15" width="0" style="0" hidden="1" customWidth="1"/>
    <col min="16" max="16" width="12.140625" style="0" customWidth="1"/>
    <col min="17" max="17" width="1.57421875" style="0" customWidth="1"/>
  </cols>
  <sheetData>
    <row r="2" spans="3:17" ht="12.75">
      <c r="C2" s="3"/>
      <c r="D2" s="3"/>
      <c r="E2" s="3"/>
      <c r="F2" s="3"/>
      <c r="G2" s="3"/>
      <c r="H2" s="3"/>
      <c r="I2" s="3"/>
      <c r="J2" s="3"/>
      <c r="K2" s="3"/>
      <c r="L2" s="3"/>
      <c r="Q2" s="64"/>
    </row>
    <row r="3" spans="3:17" ht="17.25">
      <c r="C3" s="3"/>
      <c r="D3" s="480" t="s">
        <v>194</v>
      </c>
      <c r="E3" s="480"/>
      <c r="F3" s="480"/>
      <c r="G3" s="480"/>
      <c r="H3" s="480"/>
      <c r="I3" s="480"/>
      <c r="J3" s="480"/>
      <c r="K3" s="480"/>
      <c r="L3" s="3"/>
      <c r="N3" s="77" t="s">
        <v>185</v>
      </c>
      <c r="Q3" s="448"/>
    </row>
    <row r="4" spans="3:17" ht="12.75">
      <c r="C4" s="3"/>
      <c r="D4" s="126"/>
      <c r="E4" s="126"/>
      <c r="F4" s="126"/>
      <c r="G4" s="3"/>
      <c r="H4" s="3"/>
      <c r="I4" s="3"/>
      <c r="J4" s="3"/>
      <c r="K4" s="3"/>
      <c r="L4" s="3"/>
      <c r="Q4" s="448"/>
    </row>
    <row r="5" spans="3:17" ht="12.75">
      <c r="C5" s="3"/>
      <c r="D5" s="124" t="s">
        <v>207</v>
      </c>
      <c r="E5" s="408">
        <f>'Valore OMI_Usi'!S8</f>
        <v>0</v>
      </c>
      <c r="F5" s="126"/>
      <c r="G5" s="3"/>
      <c r="H5" s="3"/>
      <c r="I5" s="98" t="s">
        <v>324</v>
      </c>
      <c r="J5" s="3"/>
      <c r="K5" s="415"/>
      <c r="L5" s="3"/>
      <c r="Q5" s="448"/>
    </row>
    <row r="6" spans="3:17" ht="12.75">
      <c r="C6" s="3"/>
      <c r="D6" s="124" t="s">
        <v>208</v>
      </c>
      <c r="E6" s="408">
        <f>'Valore OMI_Usi'!S9</f>
        <v>0</v>
      </c>
      <c r="F6" s="126"/>
      <c r="G6" s="3"/>
      <c r="H6" s="3"/>
      <c r="I6" s="540" t="s">
        <v>423</v>
      </c>
      <c r="J6" s="540"/>
      <c r="K6" s="540"/>
      <c r="L6" s="3"/>
      <c r="Q6" s="448"/>
    </row>
    <row r="7" spans="3:17" ht="12.75">
      <c r="C7" s="3"/>
      <c r="D7" s="124"/>
      <c r="E7" s="123"/>
      <c r="F7" s="126"/>
      <c r="G7" s="3"/>
      <c r="H7" s="3"/>
      <c r="I7" s="3"/>
      <c r="J7" s="3"/>
      <c r="K7" s="3"/>
      <c r="L7" s="3"/>
      <c r="Q7" s="448"/>
    </row>
    <row r="8" spans="3:17" ht="12.75">
      <c r="C8" s="3"/>
      <c r="D8" s="124"/>
      <c r="E8" s="123"/>
      <c r="F8" s="126"/>
      <c r="G8" s="3"/>
      <c r="H8" s="3"/>
      <c r="I8" s="3"/>
      <c r="J8" s="3"/>
      <c r="K8" s="3"/>
      <c r="L8" s="3"/>
      <c r="Q8" s="448"/>
    </row>
    <row r="9" spans="3:17" ht="13.5" thickBot="1">
      <c r="C9" s="3"/>
      <c r="D9" s="124"/>
      <c r="E9" s="123"/>
      <c r="F9" s="126"/>
      <c r="G9" s="3"/>
      <c r="H9" s="3"/>
      <c r="I9" s="3"/>
      <c r="J9" s="3"/>
      <c r="K9" s="3"/>
      <c r="L9" s="3"/>
      <c r="Q9" s="448"/>
    </row>
    <row r="10" spans="3:17" ht="13.5" thickBot="1">
      <c r="C10" s="294" t="s">
        <v>340</v>
      </c>
      <c r="D10" s="122" t="s">
        <v>194</v>
      </c>
      <c r="E10" s="122" t="s">
        <v>205</v>
      </c>
      <c r="F10" s="126"/>
      <c r="G10" s="97"/>
      <c r="H10" s="3"/>
      <c r="I10" s="3"/>
      <c r="J10" s="3"/>
      <c r="K10" s="3"/>
      <c r="L10" s="3"/>
      <c r="Q10" s="448"/>
    </row>
    <row r="11" spans="3:17" ht="12.75">
      <c r="C11" s="120" t="s">
        <v>325</v>
      </c>
      <c r="D11" s="3"/>
      <c r="E11" s="3"/>
      <c r="F11" s="3"/>
      <c r="G11" s="3"/>
      <c r="H11" s="3"/>
      <c r="I11" s="3"/>
      <c r="J11" s="3"/>
      <c r="K11" s="3"/>
      <c r="L11" s="3"/>
      <c r="Q11" s="448"/>
    </row>
    <row r="12" spans="3:17" ht="12.75">
      <c r="C12" s="3"/>
      <c r="D12" s="3"/>
      <c r="E12" s="408">
        <f>(E5+E6)/2</f>
        <v>0</v>
      </c>
      <c r="F12" s="127" t="s">
        <v>320</v>
      </c>
      <c r="G12" s="125">
        <v>0.1</v>
      </c>
      <c r="H12" s="123" t="s">
        <v>320</v>
      </c>
      <c r="I12" s="125">
        <v>0.5</v>
      </c>
      <c r="J12" s="127" t="s">
        <v>156</v>
      </c>
      <c r="K12" s="183">
        <f>E12*G12*I12</f>
        <v>0</v>
      </c>
      <c r="L12" s="3"/>
      <c r="Q12" s="448"/>
    </row>
    <row r="13" spans="3:17" ht="12.75">
      <c r="C13" s="3"/>
      <c r="D13" s="3"/>
      <c r="E13" s="251" t="s">
        <v>174</v>
      </c>
      <c r="F13" s="252" t="s">
        <v>320</v>
      </c>
      <c r="G13" s="251" t="s">
        <v>195</v>
      </c>
      <c r="H13" s="252" t="s">
        <v>320</v>
      </c>
      <c r="I13" s="251" t="s">
        <v>196</v>
      </c>
      <c r="J13" s="252" t="s">
        <v>156</v>
      </c>
      <c r="K13" s="251" t="s">
        <v>176</v>
      </c>
      <c r="L13" s="3"/>
      <c r="Q13" s="448"/>
    </row>
    <row r="14" spans="3:17" ht="12.75">
      <c r="C14" s="3"/>
      <c r="D14" s="3"/>
      <c r="E14" s="3"/>
      <c r="F14" s="3"/>
      <c r="G14" s="3"/>
      <c r="H14" s="3"/>
      <c r="I14" s="3"/>
      <c r="J14" s="3"/>
      <c r="K14" s="3"/>
      <c r="L14" s="3"/>
      <c r="Q14" s="448"/>
    </row>
    <row r="15" spans="3:17" ht="12.75">
      <c r="C15" s="3"/>
      <c r="D15" s="3"/>
      <c r="E15" s="3"/>
      <c r="F15" s="3"/>
      <c r="G15" s="3"/>
      <c r="H15" s="3"/>
      <c r="I15" s="3" t="s">
        <v>81</v>
      </c>
      <c r="J15" s="3"/>
      <c r="K15" s="250">
        <f>N15</f>
        <v>0</v>
      </c>
      <c r="L15" s="3"/>
      <c r="N15" s="38">
        <f>IF(C10&gt;0,K12*K5*N16,0)</f>
        <v>0</v>
      </c>
      <c r="Q15" s="448"/>
    </row>
    <row r="16" spans="3:17" ht="13.5" thickBot="1">
      <c r="C16" s="3"/>
      <c r="D16" s="3"/>
      <c r="E16" s="3"/>
      <c r="F16" s="3"/>
      <c r="G16" s="3"/>
      <c r="H16" s="3"/>
      <c r="I16" s="3"/>
      <c r="J16" s="3"/>
      <c r="K16" s="3"/>
      <c r="L16" s="3"/>
      <c r="N16" s="249">
        <f>'U1 e U2'!V85</f>
        <v>0</v>
      </c>
      <c r="Q16" s="448"/>
    </row>
    <row r="17" spans="3:17" ht="13.5" thickBot="1">
      <c r="C17" s="294" t="s">
        <v>340</v>
      </c>
      <c r="D17" s="122" t="s">
        <v>194</v>
      </c>
      <c r="E17" s="5" t="s">
        <v>206</v>
      </c>
      <c r="F17" s="3"/>
      <c r="G17" s="3"/>
      <c r="H17" s="3"/>
      <c r="I17" s="3"/>
      <c r="J17" s="3"/>
      <c r="K17" s="3"/>
      <c r="L17" s="3"/>
      <c r="Q17" s="448"/>
    </row>
    <row r="18" spans="3:17" ht="12.75">
      <c r="C18" s="120" t="s">
        <v>325</v>
      </c>
      <c r="D18" s="3"/>
      <c r="E18" s="3"/>
      <c r="F18" s="3"/>
      <c r="G18" s="3"/>
      <c r="H18" s="3"/>
      <c r="I18" s="3"/>
      <c r="J18" s="3"/>
      <c r="K18" s="3"/>
      <c r="L18" s="3"/>
      <c r="Q18" s="448"/>
    </row>
    <row r="19" spans="3:17" ht="12.75">
      <c r="C19" s="3"/>
      <c r="D19" s="3"/>
      <c r="E19" s="408">
        <f>(E5+E6)/2</f>
        <v>0</v>
      </c>
      <c r="F19" s="127" t="s">
        <v>320</v>
      </c>
      <c r="G19" s="125">
        <v>0.07</v>
      </c>
      <c r="H19" s="123" t="s">
        <v>320</v>
      </c>
      <c r="I19" s="125">
        <v>0.5</v>
      </c>
      <c r="J19" s="127" t="s">
        <v>156</v>
      </c>
      <c r="K19" s="183">
        <f>E19*G19*I19</f>
        <v>0</v>
      </c>
      <c r="L19" s="3"/>
      <c r="Q19" s="448"/>
    </row>
    <row r="20" spans="3:17" ht="12.75">
      <c r="C20" s="3"/>
      <c r="D20" s="3"/>
      <c r="E20" s="251" t="s">
        <v>174</v>
      </c>
      <c r="F20" s="252" t="s">
        <v>320</v>
      </c>
      <c r="G20" s="251" t="s">
        <v>195</v>
      </c>
      <c r="H20" s="252" t="s">
        <v>320</v>
      </c>
      <c r="I20" s="251" t="s">
        <v>196</v>
      </c>
      <c r="J20" s="252" t="s">
        <v>156</v>
      </c>
      <c r="K20" s="251" t="s">
        <v>175</v>
      </c>
      <c r="L20" s="3"/>
      <c r="Q20" s="448"/>
    </row>
    <row r="21" spans="3:17" ht="12.75">
      <c r="C21" s="3"/>
      <c r="D21" s="3"/>
      <c r="E21" s="3"/>
      <c r="F21" s="3"/>
      <c r="G21" s="3"/>
      <c r="H21" s="3"/>
      <c r="I21" s="3"/>
      <c r="J21" s="3"/>
      <c r="K21" s="3"/>
      <c r="L21" s="3"/>
      <c r="Q21" s="448"/>
    </row>
    <row r="22" spans="3:17" ht="12.75">
      <c r="C22" s="3"/>
      <c r="D22" s="3"/>
      <c r="E22" s="3"/>
      <c r="F22" s="3"/>
      <c r="G22" s="3"/>
      <c r="H22" s="3"/>
      <c r="I22" s="3" t="s">
        <v>81</v>
      </c>
      <c r="J22" s="3"/>
      <c r="K22" s="250">
        <f>N22</f>
        <v>0</v>
      </c>
      <c r="L22" s="3"/>
      <c r="N22" s="38">
        <f>IF(C17&gt;0,K19*K5*N23,0)</f>
        <v>0</v>
      </c>
      <c r="Q22" s="448"/>
    </row>
    <row r="23" spans="3:17" ht="12.75">
      <c r="C23" s="3"/>
      <c r="D23" s="3"/>
      <c r="E23" s="3"/>
      <c r="F23" s="3"/>
      <c r="G23" s="3"/>
      <c r="H23" s="3"/>
      <c r="I23" s="3"/>
      <c r="J23" s="3"/>
      <c r="K23" s="3"/>
      <c r="L23" s="3"/>
      <c r="N23" s="249">
        <f>'U1 e U2'!V86</f>
        <v>0</v>
      </c>
      <c r="Q23" s="64"/>
    </row>
    <row r="24" spans="3:17" ht="12.75">
      <c r="C24" s="3"/>
      <c r="D24" s="3"/>
      <c r="E24" s="3"/>
      <c r="F24" s="3"/>
      <c r="G24" s="3"/>
      <c r="H24" s="3"/>
      <c r="I24" s="3"/>
      <c r="J24" s="3"/>
      <c r="K24" s="3"/>
      <c r="L24" s="3"/>
      <c r="Q24" s="64"/>
    </row>
    <row r="25" spans="3:17" ht="12.75">
      <c r="C25" s="3"/>
      <c r="D25" s="3"/>
      <c r="E25" s="3"/>
      <c r="F25" s="3"/>
      <c r="G25" s="3"/>
      <c r="H25" s="3"/>
      <c r="I25" s="3"/>
      <c r="J25" s="3"/>
      <c r="K25" s="3"/>
      <c r="L25" s="3"/>
      <c r="Q25" s="64"/>
    </row>
    <row r="26" spans="3:17" ht="12.75">
      <c r="C26" s="3"/>
      <c r="D26" s="3"/>
      <c r="E26" s="3"/>
      <c r="F26" s="3"/>
      <c r="G26" s="3"/>
      <c r="H26" s="3"/>
      <c r="I26" s="3"/>
      <c r="J26" s="3"/>
      <c r="K26" s="3"/>
      <c r="L26" s="3"/>
      <c r="Q26" s="64"/>
    </row>
    <row r="27" ht="12.75">
      <c r="Q27" s="64"/>
    </row>
    <row r="28" ht="12.75">
      <c r="Q28" s="64"/>
    </row>
    <row r="29" ht="12.75">
      <c r="Q29" s="64"/>
    </row>
    <row r="30" ht="12.75">
      <c r="Q30" s="64"/>
    </row>
    <row r="31" ht="12.75">
      <c r="Q31" s="64"/>
    </row>
    <row r="32" ht="12.75">
      <c r="Q32" s="64"/>
    </row>
    <row r="33" ht="12.75">
      <c r="Q33" s="64"/>
    </row>
  </sheetData>
  <sheetProtection password="8090" sheet="1" objects="1" scenarios="1"/>
  <mergeCells count="2">
    <mergeCell ref="I6:K6"/>
    <mergeCell ref="D3:K3"/>
  </mergeCells>
  <printOptions horizontalCentered="1"/>
  <pageMargins left="0.3937007874015748" right="0.3937007874015748" top="0.7086614173228347" bottom="0.984251968503937" header="0.5118110236220472" footer="0.5118110236220472"/>
  <pageSetup horizontalDpi="600" verticalDpi="600" orientation="portrait" paperSize="9" scale="90" r:id="rId1"/>
  <headerFooter alignWithMargins="0">
    <oddFooter>&amp;C&amp;9foglio "Monetizzazioni"&amp;R&amp;9pag.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O120"/>
  <sheetViews>
    <sheetView workbookViewId="0" topLeftCell="B1">
      <selection activeCell="D101" sqref="D101"/>
    </sheetView>
  </sheetViews>
  <sheetFormatPr defaultColWidth="9.140625" defaultRowHeight="12.75"/>
  <cols>
    <col min="1" max="1" width="0" style="0" hidden="1" customWidth="1"/>
    <col min="2" max="2" width="10.7109375" style="0" customWidth="1"/>
    <col min="3" max="3" width="1.8515625" style="0" customWidth="1"/>
    <col min="4" max="4" width="3.28125" style="0" customWidth="1"/>
    <col min="5" max="5" width="12.140625" style="0" customWidth="1"/>
    <col min="6" max="6" width="9.7109375" style="0" bestFit="1" customWidth="1"/>
    <col min="7" max="7" width="10.8515625" style="0" customWidth="1"/>
    <col min="8" max="8" width="16.8515625" style="0" customWidth="1"/>
    <col min="9" max="9" width="15.140625" style="0" customWidth="1"/>
    <col min="10" max="10" width="4.8515625" style="0" customWidth="1"/>
    <col min="11" max="11" width="5.7109375" style="0" customWidth="1"/>
    <col min="12" max="12" width="5.28125" style="0" customWidth="1"/>
    <col min="13" max="13" width="8.8515625" style="6" customWidth="1"/>
    <col min="14" max="14" width="9.7109375" style="0" customWidth="1"/>
    <col min="15" max="15" width="5.28125" style="0" customWidth="1"/>
    <col min="16" max="16" width="9.00390625" style="6" customWidth="1"/>
    <col min="17" max="17" width="3.421875" style="0" customWidth="1"/>
    <col min="18" max="18" width="11.421875" style="0" hidden="1" customWidth="1"/>
    <col min="19" max="19" width="8.00390625" style="6" hidden="1" customWidth="1"/>
    <col min="20" max="20" width="11.28125" style="6" hidden="1" customWidth="1"/>
    <col min="21" max="21" width="9.7109375" style="0" hidden="1" customWidth="1"/>
    <col min="22" max="22" width="2.7109375" style="0" hidden="1" customWidth="1"/>
    <col min="23" max="23" width="3.140625" style="0" hidden="1" customWidth="1"/>
    <col min="24" max="24" width="7.57421875" style="6" hidden="1" customWidth="1"/>
    <col min="25" max="25" width="4.8515625" style="0" hidden="1" customWidth="1"/>
    <col min="26" max="26" width="3.28125" style="0" hidden="1" customWidth="1"/>
    <col min="27" max="27" width="6.00390625" style="0" hidden="1" customWidth="1"/>
    <col min="28" max="28" width="9.7109375" style="0" hidden="1" customWidth="1"/>
    <col min="29" max="40" width="0" style="0" hidden="1" customWidth="1"/>
    <col min="41" max="41" width="1.57421875" style="0" customWidth="1"/>
  </cols>
  <sheetData>
    <row r="2" ht="12.75">
      <c r="T2" s="77" t="s">
        <v>185</v>
      </c>
    </row>
    <row r="3" spans="3:41" ht="17.25">
      <c r="C3" s="3"/>
      <c r="D3" s="3"/>
      <c r="E3" s="432" t="s">
        <v>504</v>
      </c>
      <c r="F3" s="3"/>
      <c r="G3" s="3"/>
      <c r="H3" s="3"/>
      <c r="I3" s="3"/>
      <c r="J3" s="3"/>
      <c r="K3" s="3"/>
      <c r="L3" s="3"/>
      <c r="M3" s="10"/>
      <c r="N3" s="3"/>
      <c r="O3" s="3"/>
      <c r="P3" s="10"/>
      <c r="Q3" s="3"/>
      <c r="R3" s="3"/>
      <c r="AO3" s="448"/>
    </row>
    <row r="4" spans="3:41" ht="12.75">
      <c r="C4" s="3"/>
      <c r="D4" s="3"/>
      <c r="E4" s="3"/>
      <c r="F4" s="551" t="s">
        <v>314</v>
      </c>
      <c r="G4" s="551"/>
      <c r="H4" s="551"/>
      <c r="I4" s="551"/>
      <c r="J4" s="551"/>
      <c r="K4" s="551"/>
      <c r="L4" s="551"/>
      <c r="M4" s="551"/>
      <c r="N4" s="551"/>
      <c r="O4" s="3"/>
      <c r="P4" s="10"/>
      <c r="Q4" s="3"/>
      <c r="R4" s="3"/>
      <c r="AO4" s="448"/>
    </row>
    <row r="5" spans="3:41" ht="12.75">
      <c r="C5" s="3"/>
      <c r="D5" s="3"/>
      <c r="E5" s="3"/>
      <c r="F5" s="551"/>
      <c r="G5" s="551"/>
      <c r="H5" s="551"/>
      <c r="I5" s="551"/>
      <c r="J5" s="551"/>
      <c r="K5" s="551"/>
      <c r="L5" s="551"/>
      <c r="M5" s="551"/>
      <c r="N5" s="551"/>
      <c r="O5" s="3"/>
      <c r="P5" s="10"/>
      <c r="Q5" s="3"/>
      <c r="R5" s="3"/>
      <c r="AO5" s="448"/>
    </row>
    <row r="6" spans="3:41" ht="12.75">
      <c r="C6" s="3"/>
      <c r="D6" s="3"/>
      <c r="E6" s="96"/>
      <c r="F6" s="5" t="s">
        <v>507</v>
      </c>
      <c r="G6" s="3"/>
      <c r="H6" s="3"/>
      <c r="I6" s="3"/>
      <c r="J6" s="3"/>
      <c r="K6" s="3"/>
      <c r="L6" s="3"/>
      <c r="M6" s="10"/>
      <c r="N6" s="3"/>
      <c r="O6" s="3"/>
      <c r="P6" s="10"/>
      <c r="Q6" s="3"/>
      <c r="R6" s="3"/>
      <c r="AO6" s="448"/>
    </row>
    <row r="7" spans="3:41" ht="12.75">
      <c r="C7" s="3"/>
      <c r="D7" s="3"/>
      <c r="E7" s="3"/>
      <c r="F7" s="3"/>
      <c r="G7" s="3"/>
      <c r="H7" s="3"/>
      <c r="I7" s="3"/>
      <c r="J7" s="3"/>
      <c r="K7" s="3"/>
      <c r="L7" s="3"/>
      <c r="M7" s="10"/>
      <c r="N7" s="3"/>
      <c r="O7" s="3"/>
      <c r="P7" s="10"/>
      <c r="Q7" s="3"/>
      <c r="R7" s="3"/>
      <c r="AO7" s="448"/>
    </row>
    <row r="8" spans="3:41" ht="12.75">
      <c r="C8" s="3"/>
      <c r="D8" s="3"/>
      <c r="E8" s="5" t="s">
        <v>501</v>
      </c>
      <c r="F8" s="3"/>
      <c r="G8" s="3"/>
      <c r="H8" s="3"/>
      <c r="I8" s="3"/>
      <c r="J8" s="3"/>
      <c r="K8" s="3"/>
      <c r="L8" s="3"/>
      <c r="M8" s="10"/>
      <c r="N8" s="3"/>
      <c r="O8" s="3"/>
      <c r="P8" s="10"/>
      <c r="Q8" s="3"/>
      <c r="R8" s="3"/>
      <c r="AO8" s="448"/>
    </row>
    <row r="9" spans="3:41" ht="12.75">
      <c r="C9" s="3"/>
      <c r="D9" s="3"/>
      <c r="E9" s="3"/>
      <c r="F9" s="3"/>
      <c r="G9" s="3"/>
      <c r="H9" s="3"/>
      <c r="I9" s="3"/>
      <c r="J9" s="3"/>
      <c r="K9" s="3"/>
      <c r="L9" s="3"/>
      <c r="M9" s="10"/>
      <c r="N9" s="3"/>
      <c r="O9" s="3"/>
      <c r="P9" s="10"/>
      <c r="Q9" s="3"/>
      <c r="R9" s="3"/>
      <c r="AO9" s="448"/>
    </row>
    <row r="10" spans="3:41" ht="12.75">
      <c r="C10" s="3"/>
      <c r="D10" s="3"/>
      <c r="E10" s="3" t="s">
        <v>231</v>
      </c>
      <c r="F10" s="3"/>
      <c r="G10" s="3"/>
      <c r="H10" s="3"/>
      <c r="I10" s="3"/>
      <c r="J10" s="3"/>
      <c r="K10" s="3"/>
      <c r="L10" s="3"/>
      <c r="M10" s="10"/>
      <c r="N10" s="3"/>
      <c r="O10" s="3"/>
      <c r="P10" s="10"/>
      <c r="Q10" s="3"/>
      <c r="R10" s="3"/>
      <c r="AO10" s="448"/>
    </row>
    <row r="11" spans="3:41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  <c r="N11" s="3"/>
      <c r="O11" s="3"/>
      <c r="P11" s="10"/>
      <c r="Q11" s="3"/>
      <c r="R11" s="3"/>
      <c r="U11" s="11" t="s">
        <v>335</v>
      </c>
      <c r="AO11" s="448"/>
    </row>
    <row r="12" spans="3:41" ht="12.75">
      <c r="C12" s="3"/>
      <c r="D12" s="3"/>
      <c r="E12" s="477" t="s">
        <v>331</v>
      </c>
      <c r="F12" s="466"/>
      <c r="G12" s="564" t="s">
        <v>213</v>
      </c>
      <c r="H12" s="564" t="s">
        <v>332</v>
      </c>
      <c r="I12" s="477" t="s">
        <v>333</v>
      </c>
      <c r="J12" s="466"/>
      <c r="K12" s="477" t="s">
        <v>214</v>
      </c>
      <c r="L12" s="466"/>
      <c r="M12" s="477" t="s">
        <v>334</v>
      </c>
      <c r="N12" s="466"/>
      <c r="O12" s="3"/>
      <c r="P12" s="10"/>
      <c r="Q12" s="3"/>
      <c r="R12" s="3"/>
      <c r="AO12" s="448"/>
    </row>
    <row r="13" spans="3:41" ht="12.75">
      <c r="C13" s="3"/>
      <c r="D13" s="3"/>
      <c r="E13" s="467"/>
      <c r="F13" s="468"/>
      <c r="G13" s="565"/>
      <c r="H13" s="565"/>
      <c r="I13" s="467"/>
      <c r="J13" s="468"/>
      <c r="K13" s="467"/>
      <c r="L13" s="468"/>
      <c r="M13" s="467"/>
      <c r="N13" s="468"/>
      <c r="O13" s="3"/>
      <c r="P13" s="10"/>
      <c r="Q13" s="3"/>
      <c r="R13" s="3"/>
      <c r="S13" s="49"/>
      <c r="T13" s="49"/>
      <c r="U13" s="50"/>
      <c r="V13" s="50"/>
      <c r="W13" s="50"/>
      <c r="X13" s="49"/>
      <c r="Y13" s="50"/>
      <c r="Z13" s="50"/>
      <c r="AA13" s="50"/>
      <c r="AB13" s="50"/>
      <c r="AO13" s="448"/>
    </row>
    <row r="14" spans="3:41" ht="12.75">
      <c r="C14" s="3"/>
      <c r="D14" s="3"/>
      <c r="E14" s="459"/>
      <c r="F14" s="460"/>
      <c r="G14" s="566"/>
      <c r="H14" s="566"/>
      <c r="I14" s="459"/>
      <c r="J14" s="460"/>
      <c r="K14" s="459"/>
      <c r="L14" s="460"/>
      <c r="M14" s="459"/>
      <c r="N14" s="460"/>
      <c r="O14" s="3"/>
      <c r="P14" s="10"/>
      <c r="Q14" s="3"/>
      <c r="R14" s="3"/>
      <c r="S14" s="155"/>
      <c r="T14" s="155" t="s">
        <v>51</v>
      </c>
      <c r="U14" s="156"/>
      <c r="V14" s="156"/>
      <c r="W14" s="156"/>
      <c r="X14" s="155"/>
      <c r="Y14" s="156"/>
      <c r="Z14" s="156"/>
      <c r="AA14" s="156"/>
      <c r="AB14" s="156"/>
      <c r="AO14" s="448"/>
    </row>
    <row r="15" spans="3:41" ht="12.75">
      <c r="C15" s="3"/>
      <c r="D15" s="3"/>
      <c r="E15" s="559" t="s">
        <v>215</v>
      </c>
      <c r="F15" s="560"/>
      <c r="G15" s="25" t="s">
        <v>221</v>
      </c>
      <c r="H15" s="25" t="s">
        <v>222</v>
      </c>
      <c r="I15" s="463" t="s">
        <v>223</v>
      </c>
      <c r="J15" s="465"/>
      <c r="K15" s="559" t="s">
        <v>224</v>
      </c>
      <c r="L15" s="560"/>
      <c r="M15" s="559" t="s">
        <v>225</v>
      </c>
      <c r="N15" s="560"/>
      <c r="O15" s="3"/>
      <c r="P15" s="10"/>
      <c r="Q15" s="3"/>
      <c r="R15" s="3"/>
      <c r="S15" s="54">
        <f>IF(F28&gt;0,1,"")</f>
      </c>
      <c r="T15" s="54">
        <f>IF(F28&gt;0,1,"")</f>
      </c>
      <c r="U15" s="54">
        <f>IF(F28=0,1,"")</f>
        <v>1</v>
      </c>
      <c r="V15" s="54"/>
      <c r="W15" s="54"/>
      <c r="X15" s="54">
        <f>IF(F28=0,1,"")</f>
        <v>1</v>
      </c>
      <c r="Y15" s="38"/>
      <c r="Z15" s="38"/>
      <c r="AA15" s="38"/>
      <c r="AB15" s="38"/>
      <c r="AO15" s="448"/>
    </row>
    <row r="16" spans="3:41" ht="12.75">
      <c r="C16" s="3"/>
      <c r="D16" s="3"/>
      <c r="E16" s="559" t="s">
        <v>216</v>
      </c>
      <c r="F16" s="560"/>
      <c r="G16" s="412"/>
      <c r="H16" s="413"/>
      <c r="I16" s="545">
        <f>IF(H16&gt;0,H16/$H$23,"")</f>
      </c>
      <c r="J16" s="546"/>
      <c r="K16" s="463">
        <v>0</v>
      </c>
      <c r="L16" s="465"/>
      <c r="M16" s="561">
        <f>IF(H16&gt;0,I16*K16/100,"")</f>
      </c>
      <c r="N16" s="562"/>
      <c r="O16" s="3"/>
      <c r="P16" s="10"/>
      <c r="Q16" s="3"/>
      <c r="R16" s="3"/>
      <c r="S16" s="54">
        <f>IF(F29=0,6,"")</f>
        <v>6</v>
      </c>
      <c r="T16" s="54">
        <f>IF(F29&gt;0,15,"")</f>
      </c>
      <c r="U16" s="54">
        <f>IF(F29&gt;0,30,"")</f>
      </c>
      <c r="V16" s="54"/>
      <c r="W16" s="54"/>
      <c r="X16" s="54">
        <f>IF(F29=0,50,"")</f>
        <v>50</v>
      </c>
      <c r="Y16" s="38"/>
      <c r="Z16" s="38"/>
      <c r="AA16" s="38"/>
      <c r="AB16" s="38"/>
      <c r="AO16" s="448"/>
    </row>
    <row r="17" spans="3:41" ht="12.75">
      <c r="C17" s="3"/>
      <c r="D17" s="3"/>
      <c r="E17" s="559" t="s">
        <v>217</v>
      </c>
      <c r="F17" s="560"/>
      <c r="G17" s="412"/>
      <c r="H17" s="413"/>
      <c r="I17" s="545">
        <f>IF(H17&gt;0,H17/$H$23,"")</f>
      </c>
      <c r="J17" s="546"/>
      <c r="K17" s="463">
        <v>5</v>
      </c>
      <c r="L17" s="465"/>
      <c r="M17" s="561">
        <f>IF(H17&gt;0,I17*K17/100,"")</f>
      </c>
      <c r="N17" s="562"/>
      <c r="O17" s="3"/>
      <c r="P17" s="10"/>
      <c r="Q17" s="3"/>
      <c r="R17" s="3"/>
      <c r="S17" s="54">
        <f>SUM(S15:S16)</f>
        <v>6</v>
      </c>
      <c r="T17" s="54">
        <f>SUM(T15:T16)</f>
        <v>0</v>
      </c>
      <c r="U17" s="54">
        <f>SUM(U15:U16)</f>
        <v>1</v>
      </c>
      <c r="V17" s="54"/>
      <c r="W17" s="54"/>
      <c r="X17" s="54">
        <f>SUM(X15:X16)</f>
        <v>51</v>
      </c>
      <c r="Y17" s="38"/>
      <c r="Z17" s="38"/>
      <c r="AA17" s="38"/>
      <c r="AB17" s="38"/>
      <c r="AO17" s="448"/>
    </row>
    <row r="18" spans="3:41" ht="12.75">
      <c r="C18" s="3"/>
      <c r="D18" s="3"/>
      <c r="E18" s="559" t="s">
        <v>218</v>
      </c>
      <c r="F18" s="560"/>
      <c r="G18" s="412"/>
      <c r="H18" s="413"/>
      <c r="I18" s="545">
        <f>IF(H18&gt;0,H18/$H$23,"")</f>
      </c>
      <c r="J18" s="546"/>
      <c r="K18" s="463">
        <v>15</v>
      </c>
      <c r="L18" s="465"/>
      <c r="M18" s="561">
        <f>IF(H18&gt;0,I18*K18/100,"")</f>
      </c>
      <c r="N18" s="562"/>
      <c r="O18" s="3"/>
      <c r="P18" s="10"/>
      <c r="Q18" s="3"/>
      <c r="R18" s="3"/>
      <c r="S18" s="160"/>
      <c r="T18" s="160"/>
      <c r="U18" s="161"/>
      <c r="V18" s="160"/>
      <c r="W18" s="162"/>
      <c r="X18" s="160"/>
      <c r="Y18" s="162"/>
      <c r="Z18" s="162"/>
      <c r="AA18" s="162"/>
      <c r="AB18" s="162"/>
      <c r="AO18" s="448"/>
    </row>
    <row r="19" spans="3:41" ht="12.75">
      <c r="C19" s="3"/>
      <c r="D19" s="3"/>
      <c r="E19" s="559" t="s">
        <v>219</v>
      </c>
      <c r="F19" s="560"/>
      <c r="G19" s="412"/>
      <c r="H19" s="413"/>
      <c r="I19" s="545">
        <f>IF(H19&gt;0,H19/$H$23,"")</f>
      </c>
      <c r="J19" s="546"/>
      <c r="K19" s="463">
        <v>30</v>
      </c>
      <c r="L19" s="465"/>
      <c r="M19" s="561">
        <f>IF(H19&gt;0,I19*K19/100,"")</f>
      </c>
      <c r="N19" s="562"/>
      <c r="O19" s="3"/>
      <c r="P19" s="10"/>
      <c r="Q19" s="3"/>
      <c r="R19" s="3"/>
      <c r="S19" s="54">
        <f>IF(S17=7,0,"")</f>
      </c>
      <c r="T19" s="48">
        <f>T20</f>
      </c>
      <c r="U19" s="54">
        <f>IF(U17=31,0,"")</f>
      </c>
      <c r="V19" s="54"/>
      <c r="W19" s="54"/>
      <c r="X19" s="54">
        <f>IF(X17=51,0,"")</f>
        <v>0</v>
      </c>
      <c r="Y19" s="38"/>
      <c r="Z19" s="38"/>
      <c r="AA19" s="38">
        <f>SUM(S19:X19)</f>
        <v>0</v>
      </c>
      <c r="AB19" s="38"/>
      <c r="AO19" s="448"/>
    </row>
    <row r="20" spans="3:41" ht="12.75">
      <c r="C20" s="3"/>
      <c r="D20" s="3"/>
      <c r="E20" s="559" t="s">
        <v>220</v>
      </c>
      <c r="F20" s="560"/>
      <c r="G20" s="412"/>
      <c r="H20" s="413"/>
      <c r="I20" s="545">
        <f>IF(H20&gt;0,H20/$H$23,"")</f>
      </c>
      <c r="J20" s="546"/>
      <c r="K20" s="463">
        <v>50</v>
      </c>
      <c r="L20" s="465"/>
      <c r="M20" s="561">
        <f>IF(H20&gt;0,I20*K20/100,"")</f>
      </c>
      <c r="N20" s="562"/>
      <c r="O20" s="3"/>
      <c r="P20" s="10"/>
      <c r="Q20" s="3"/>
      <c r="R20" s="3"/>
      <c r="S20" s="157"/>
      <c r="T20" s="54">
        <f>IF(T17=16,F29/F28,"")</f>
      </c>
      <c r="U20" s="158"/>
      <c r="V20" s="157"/>
      <c r="W20" s="159"/>
      <c r="X20" s="157"/>
      <c r="Y20" s="159"/>
      <c r="Z20" s="159"/>
      <c r="AA20" s="159"/>
      <c r="AB20" s="159"/>
      <c r="AO20" s="448"/>
    </row>
    <row r="21" spans="3:41" ht="6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10"/>
      <c r="N21" s="3"/>
      <c r="O21" s="3"/>
      <c r="P21" s="10"/>
      <c r="Q21" s="3"/>
      <c r="R21" s="3"/>
      <c r="T21" s="10"/>
      <c r="U21" s="3"/>
      <c r="V21" s="3"/>
      <c r="W21" s="3"/>
      <c r="AO21" s="448"/>
    </row>
    <row r="22" spans="3:41" ht="12.75">
      <c r="C22" s="3"/>
      <c r="D22" s="3"/>
      <c r="E22" s="67" t="s">
        <v>417</v>
      </c>
      <c r="F22" s="3"/>
      <c r="G22" s="3"/>
      <c r="H22" s="7" t="s">
        <v>226</v>
      </c>
      <c r="I22" s="3"/>
      <c r="J22" s="3"/>
      <c r="K22" s="3"/>
      <c r="L22" s="3"/>
      <c r="M22" s="463" t="s">
        <v>227</v>
      </c>
      <c r="N22" s="465"/>
      <c r="O22" s="26" t="s">
        <v>228</v>
      </c>
      <c r="P22" s="176">
        <f>SUM(M16:N20)</f>
        <v>0</v>
      </c>
      <c r="Q22" s="55" t="s">
        <v>229</v>
      </c>
      <c r="R22" s="284"/>
      <c r="S22" s="47"/>
      <c r="T22" s="10"/>
      <c r="U22" s="3"/>
      <c r="V22" s="3"/>
      <c r="W22" s="3"/>
      <c r="AO22" s="448"/>
    </row>
    <row r="23" spans="3:41" ht="12.75">
      <c r="C23" s="3"/>
      <c r="D23" s="3"/>
      <c r="E23" s="67" t="s">
        <v>418</v>
      </c>
      <c r="F23" s="3"/>
      <c r="G23" s="3"/>
      <c r="H23" s="39">
        <f>SUM(H16:H20)</f>
        <v>0</v>
      </c>
      <c r="I23" s="3"/>
      <c r="J23" s="3"/>
      <c r="K23" s="3"/>
      <c r="L23" s="3"/>
      <c r="M23" s="10"/>
      <c r="N23" s="3"/>
      <c r="O23" s="3"/>
      <c r="P23" s="10"/>
      <c r="Q23" s="3"/>
      <c r="R23" s="3"/>
      <c r="AO23" s="448"/>
    </row>
    <row r="24" spans="3:41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10"/>
      <c r="N24" s="3"/>
      <c r="O24" s="3"/>
      <c r="P24" s="10"/>
      <c r="Q24" s="3"/>
      <c r="R24" s="3"/>
      <c r="AO24" s="448"/>
    </row>
    <row r="25" spans="3:41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  <c r="N25" s="3"/>
      <c r="O25" s="3"/>
      <c r="P25" s="10"/>
      <c r="Q25" s="3"/>
      <c r="R25" s="3"/>
      <c r="AO25" s="448"/>
    </row>
    <row r="26" spans="3:41" ht="12.75">
      <c r="C26" s="3"/>
      <c r="D26" s="3"/>
      <c r="E26" s="3" t="s">
        <v>230</v>
      </c>
      <c r="F26" s="3"/>
      <c r="G26" s="3"/>
      <c r="H26" s="3"/>
      <c r="I26" s="3"/>
      <c r="J26" s="3"/>
      <c r="K26" s="3"/>
      <c r="L26" s="3"/>
      <c r="M26" s="10"/>
      <c r="N26" s="3"/>
      <c r="O26" s="3"/>
      <c r="P26" s="10"/>
      <c r="Q26" s="3"/>
      <c r="R26" s="3"/>
      <c r="AO26" s="448"/>
    </row>
    <row r="27" spans="1:4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3"/>
      <c r="O27" s="3"/>
      <c r="P27" s="10"/>
      <c r="Q27" s="3"/>
      <c r="R27" s="3"/>
      <c r="Z27" s="3"/>
      <c r="AA27" s="3"/>
      <c r="AB27" s="3"/>
      <c r="AC27" s="3"/>
      <c r="AD27" s="3"/>
      <c r="AE27" s="3"/>
      <c r="AF27" s="3"/>
      <c r="AO27" s="448"/>
    </row>
    <row r="28" spans="1:41" ht="12.75" customHeight="1">
      <c r="A28" s="3"/>
      <c r="B28" s="3"/>
      <c r="C28" s="3"/>
      <c r="D28" s="3"/>
      <c r="E28" s="26" t="s">
        <v>233</v>
      </c>
      <c r="F28" s="40">
        <f>H23</f>
        <v>0</v>
      </c>
      <c r="G28" s="13" t="s">
        <v>232</v>
      </c>
      <c r="H28" s="477" t="s">
        <v>337</v>
      </c>
      <c r="I28" s="461"/>
      <c r="J28" s="466"/>
      <c r="K28" s="477" t="s">
        <v>336</v>
      </c>
      <c r="L28" s="466"/>
      <c r="M28" s="477" t="s">
        <v>236</v>
      </c>
      <c r="N28" s="466"/>
      <c r="O28" s="3"/>
      <c r="P28" s="10"/>
      <c r="Q28" s="3"/>
      <c r="R28" s="3"/>
      <c r="T28" s="154"/>
      <c r="Z28" s="3"/>
      <c r="AA28" s="3"/>
      <c r="AB28" s="3"/>
      <c r="AC28" s="3"/>
      <c r="AD28" s="3"/>
      <c r="AE28" s="3"/>
      <c r="AF28" s="3"/>
      <c r="AO28" s="448"/>
    </row>
    <row r="29" spans="1:41" ht="12.75">
      <c r="A29" s="3"/>
      <c r="B29" s="3"/>
      <c r="C29" s="3"/>
      <c r="D29" s="3"/>
      <c r="E29" s="26" t="s">
        <v>234</v>
      </c>
      <c r="F29" s="414"/>
      <c r="G29" s="13" t="s">
        <v>232</v>
      </c>
      <c r="H29" s="467"/>
      <c r="I29" s="548"/>
      <c r="J29" s="468"/>
      <c r="K29" s="467"/>
      <c r="L29" s="468"/>
      <c r="M29" s="467"/>
      <c r="N29" s="468"/>
      <c r="O29" s="3"/>
      <c r="P29" s="10"/>
      <c r="Q29" s="3"/>
      <c r="R29" s="3"/>
      <c r="T29" s="48"/>
      <c r="U29" s="11"/>
      <c r="V29" s="11"/>
      <c r="W29" s="11"/>
      <c r="X29" s="109"/>
      <c r="Y29" s="11"/>
      <c r="Z29" s="3"/>
      <c r="AA29" s="3"/>
      <c r="AB29" s="3"/>
      <c r="AC29" s="3"/>
      <c r="AD29" s="3"/>
      <c r="AE29" s="3"/>
      <c r="AF29" s="3"/>
      <c r="AO29" s="448"/>
    </row>
    <row r="30" spans="1:41" ht="12.75">
      <c r="A30" s="3"/>
      <c r="B30" s="3"/>
      <c r="C30" s="3"/>
      <c r="D30" s="3"/>
      <c r="E30" s="567" t="s">
        <v>235</v>
      </c>
      <c r="F30" s="568"/>
      <c r="G30" s="41">
        <f>AA19</f>
        <v>0</v>
      </c>
      <c r="H30" s="459"/>
      <c r="I30" s="462"/>
      <c r="J30" s="460"/>
      <c r="K30" s="459"/>
      <c r="L30" s="460"/>
      <c r="M30" s="459"/>
      <c r="N30" s="460"/>
      <c r="O30" s="3"/>
      <c r="P30" s="10"/>
      <c r="Q30" s="3"/>
      <c r="R30" s="3"/>
      <c r="T30" s="56"/>
      <c r="U30" s="11"/>
      <c r="V30" s="11"/>
      <c r="W30" s="11"/>
      <c r="X30" s="109"/>
      <c r="Y30" s="11"/>
      <c r="Z30" s="3"/>
      <c r="AA30" s="3"/>
      <c r="AB30" s="3"/>
      <c r="AC30" s="3"/>
      <c r="AD30" s="3"/>
      <c r="AE30" s="3"/>
      <c r="AF30" s="3"/>
      <c r="AO30" s="448"/>
    </row>
    <row r="31" spans="1:41" ht="12.75">
      <c r="A31" s="3"/>
      <c r="B31" s="3"/>
      <c r="C31" s="3"/>
      <c r="D31" s="3"/>
      <c r="E31" s="12"/>
      <c r="F31" s="13"/>
      <c r="G31" s="13"/>
      <c r="H31" s="463" t="s">
        <v>237</v>
      </c>
      <c r="I31" s="464"/>
      <c r="J31" s="465"/>
      <c r="K31" s="549" t="str">
        <f>IF($G$30&lt;=50%,"X","")</f>
        <v>X</v>
      </c>
      <c r="L31" s="550"/>
      <c r="M31" s="557">
        <v>0</v>
      </c>
      <c r="N31" s="558"/>
      <c r="O31" s="3"/>
      <c r="P31" s="91"/>
      <c r="Q31" s="3"/>
      <c r="R31" s="3"/>
      <c r="T31" s="58">
        <f>IF($G$30&lt;50%,0%,"")</f>
        <v>0</v>
      </c>
      <c r="U31" s="11"/>
      <c r="V31" s="37"/>
      <c r="W31" s="37"/>
      <c r="X31" s="48"/>
      <c r="Y31" s="11"/>
      <c r="Z31" s="42"/>
      <c r="AA31" s="3"/>
      <c r="AB31" s="556"/>
      <c r="AC31" s="556"/>
      <c r="AD31" s="3"/>
      <c r="AE31" s="42"/>
      <c r="AF31" s="3"/>
      <c r="AO31" s="448"/>
    </row>
    <row r="32" spans="1:41" ht="12.75">
      <c r="A32" s="3"/>
      <c r="B32" s="3"/>
      <c r="C32" s="3"/>
      <c r="D32" s="3"/>
      <c r="E32" s="12"/>
      <c r="F32" s="13"/>
      <c r="G32" s="13"/>
      <c r="H32" s="463" t="s">
        <v>238</v>
      </c>
      <c r="I32" s="464"/>
      <c r="J32" s="465"/>
      <c r="K32" s="549">
        <f>IF(X32=2,"X","")</f>
      </c>
      <c r="L32" s="550"/>
      <c r="M32" s="557">
        <v>0.1</v>
      </c>
      <c r="N32" s="558"/>
      <c r="O32" s="3"/>
      <c r="P32" s="91"/>
      <c r="Q32" s="3"/>
      <c r="R32" s="3"/>
      <c r="T32" s="58">
        <f>IF(X32=2,10%,"")</f>
      </c>
      <c r="U32" s="11"/>
      <c r="V32" s="38">
        <f>IF($G$30&gt;50.01%,1,"")</f>
      </c>
      <c r="W32" s="108">
        <f>IF($G$30&lt;=75%,1,"")</f>
        <v>1</v>
      </c>
      <c r="X32" s="54">
        <f>SUM(V32:W32)</f>
        <v>1</v>
      </c>
      <c r="Y32" s="11"/>
      <c r="Z32" s="42"/>
      <c r="AA32" s="3"/>
      <c r="AB32" s="556"/>
      <c r="AC32" s="556"/>
      <c r="AD32" s="3"/>
      <c r="AE32" s="42"/>
      <c r="AF32" s="3"/>
      <c r="AO32" s="448"/>
    </row>
    <row r="33" spans="1:41" ht="12.75">
      <c r="A33" s="3"/>
      <c r="B33" s="3"/>
      <c r="C33" s="3"/>
      <c r="D33" s="3"/>
      <c r="E33" s="12"/>
      <c r="F33" s="13"/>
      <c r="G33" s="13"/>
      <c r="H33" s="463" t="s">
        <v>239</v>
      </c>
      <c r="I33" s="464"/>
      <c r="J33" s="465"/>
      <c r="K33" s="549">
        <f>IF(X33=6,"X","")</f>
      </c>
      <c r="L33" s="550"/>
      <c r="M33" s="557">
        <v>0.2</v>
      </c>
      <c r="N33" s="558"/>
      <c r="O33" s="3"/>
      <c r="P33" s="91"/>
      <c r="Q33" s="3"/>
      <c r="R33" s="3"/>
      <c r="T33" s="58">
        <f>IF(X33=6,20%,"")</f>
      </c>
      <c r="U33" s="11"/>
      <c r="V33" s="38">
        <f>IF($G$30&gt;75.01%,3,"")</f>
      </c>
      <c r="W33" s="108">
        <f>IF($G$30&lt;=100%,3,"")</f>
        <v>3</v>
      </c>
      <c r="X33" s="54">
        <f>SUM(V33:W33)</f>
        <v>3</v>
      </c>
      <c r="Y33" s="11"/>
      <c r="Z33" s="42"/>
      <c r="AA33" s="3"/>
      <c r="AB33" s="556"/>
      <c r="AC33" s="556"/>
      <c r="AD33" s="3"/>
      <c r="AE33" s="42"/>
      <c r="AF33" s="3"/>
      <c r="AO33" s="448"/>
    </row>
    <row r="34" spans="3:41" ht="12.75">
      <c r="C34" s="3"/>
      <c r="D34" s="3"/>
      <c r="E34" s="12"/>
      <c r="F34" s="13"/>
      <c r="G34" s="13"/>
      <c r="H34" s="463" t="s">
        <v>240</v>
      </c>
      <c r="I34" s="464"/>
      <c r="J34" s="465"/>
      <c r="K34" s="549">
        <f>IF($G$30&gt;100.01%,"X","")</f>
      </c>
      <c r="L34" s="550"/>
      <c r="M34" s="557">
        <v>0.3</v>
      </c>
      <c r="N34" s="558"/>
      <c r="O34" s="26" t="s">
        <v>241</v>
      </c>
      <c r="P34" s="175">
        <f>SUM(T31:T34)</f>
        <v>0</v>
      </c>
      <c r="Q34" s="55" t="s">
        <v>229</v>
      </c>
      <c r="R34" s="47"/>
      <c r="S34" s="47"/>
      <c r="T34" s="58">
        <f>IF($G$30&gt;100.01%,30%,"")</f>
      </c>
      <c r="U34" s="11"/>
      <c r="V34" s="11"/>
      <c r="W34" s="11"/>
      <c r="X34" s="109"/>
      <c r="Y34" s="11"/>
      <c r="Z34" s="42"/>
      <c r="AA34" s="3"/>
      <c r="AB34" s="556"/>
      <c r="AC34" s="556"/>
      <c r="AD34" s="3"/>
      <c r="AE34" s="42"/>
      <c r="AF34" s="3"/>
      <c r="AO34" s="448"/>
    </row>
    <row r="35" spans="3:41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10"/>
      <c r="N35" s="3"/>
      <c r="O35" s="3"/>
      <c r="P35" s="10"/>
      <c r="Q35" s="10"/>
      <c r="R35" s="10"/>
      <c r="T35" s="57"/>
      <c r="Z35" s="3"/>
      <c r="AA35" s="3"/>
      <c r="AB35" s="3"/>
      <c r="AC35" s="3"/>
      <c r="AD35" s="3"/>
      <c r="AE35" s="3"/>
      <c r="AF35" s="3"/>
      <c r="AO35" s="448"/>
    </row>
    <row r="36" spans="3:41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10"/>
      <c r="N36" s="3"/>
      <c r="O36" s="3"/>
      <c r="P36" s="10"/>
      <c r="Q36" s="10"/>
      <c r="R36" s="10"/>
      <c r="S36" s="106" t="s">
        <v>155</v>
      </c>
      <c r="T36" s="54">
        <f>F28+(F29*0.6)</f>
        <v>0</v>
      </c>
      <c r="U36" s="50"/>
      <c r="Z36" s="43"/>
      <c r="AA36" s="3"/>
      <c r="AB36" s="3"/>
      <c r="AC36" s="3"/>
      <c r="AD36" s="3"/>
      <c r="AE36" s="3"/>
      <c r="AF36" s="3"/>
      <c r="AO36" s="448"/>
    </row>
    <row r="37" spans="3:41" ht="12.75">
      <c r="C37" s="3"/>
      <c r="D37" s="3"/>
      <c r="E37" s="3" t="s">
        <v>242</v>
      </c>
      <c r="F37" s="3"/>
      <c r="G37" s="3"/>
      <c r="H37" s="3"/>
      <c r="I37" s="3"/>
      <c r="J37" s="3"/>
      <c r="K37" s="3"/>
      <c r="L37" s="3"/>
      <c r="M37" s="10"/>
      <c r="N37" s="3"/>
      <c r="O37" s="3"/>
      <c r="P37" s="10"/>
      <c r="Q37" s="10"/>
      <c r="R37" s="10"/>
      <c r="S37" s="50"/>
      <c r="T37" s="49" t="s">
        <v>151</v>
      </c>
      <c r="U37" s="50"/>
      <c r="Z37" s="3"/>
      <c r="AA37" s="3"/>
      <c r="AB37" s="3"/>
      <c r="AC37" s="3"/>
      <c r="AD37" s="3"/>
      <c r="AE37" s="3"/>
      <c r="AF37" s="3"/>
      <c r="AO37" s="448"/>
    </row>
    <row r="38" spans="3:41" ht="13.5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10"/>
      <c r="N38" s="3"/>
      <c r="O38" s="3"/>
      <c r="P38" s="10"/>
      <c r="Q38" s="10"/>
      <c r="R38" s="10"/>
      <c r="AO38" s="448"/>
    </row>
    <row r="39" spans="3:41" ht="12.75">
      <c r="C39" s="3"/>
      <c r="D39" s="3"/>
      <c r="E39" s="3" t="s">
        <v>243</v>
      </c>
      <c r="F39" s="3"/>
      <c r="G39" s="3"/>
      <c r="H39" s="3"/>
      <c r="I39" s="3"/>
      <c r="J39" s="3"/>
      <c r="K39" s="3"/>
      <c r="L39" s="3"/>
      <c r="M39" s="10"/>
      <c r="N39" s="3"/>
      <c r="O39" s="3"/>
      <c r="P39" s="10"/>
      <c r="Q39" s="10"/>
      <c r="R39" s="10"/>
      <c r="AO39" s="448"/>
    </row>
    <row r="40" spans="3:41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10"/>
      <c r="N40" s="3"/>
      <c r="O40" s="3"/>
      <c r="P40" s="10"/>
      <c r="Q40" s="10"/>
      <c r="R40" s="10"/>
      <c r="AO40" s="448"/>
    </row>
    <row r="41" spans="3:41" ht="12.75">
      <c r="C41" s="3"/>
      <c r="D41" s="3"/>
      <c r="E41" s="7" t="s">
        <v>244</v>
      </c>
      <c r="F41" s="26" t="s">
        <v>245</v>
      </c>
      <c r="G41" s="174">
        <f>P22+P34</f>
        <v>0</v>
      </c>
      <c r="H41" s="3"/>
      <c r="I41" s="3"/>
      <c r="J41" s="463" t="s">
        <v>246</v>
      </c>
      <c r="K41" s="464"/>
      <c r="L41" s="465"/>
      <c r="M41" s="44" t="s">
        <v>247</v>
      </c>
      <c r="N41" s="13"/>
      <c r="O41" s="13"/>
      <c r="P41" s="173">
        <f>U56/100</f>
        <v>0</v>
      </c>
      <c r="Q41" s="10" t="s">
        <v>229</v>
      </c>
      <c r="R41" s="10"/>
      <c r="S41" s="10"/>
      <c r="AO41" s="448"/>
    </row>
    <row r="42" spans="3:41" ht="12.75">
      <c r="C42" s="3"/>
      <c r="D42" s="3"/>
      <c r="E42" s="93" t="s">
        <v>249</v>
      </c>
      <c r="F42" s="3"/>
      <c r="G42" s="3"/>
      <c r="H42" s="3"/>
      <c r="I42" s="3"/>
      <c r="J42" s="3"/>
      <c r="K42" s="3"/>
      <c r="L42" s="3"/>
      <c r="M42" s="10"/>
      <c r="N42" s="3"/>
      <c r="O42" s="3"/>
      <c r="P42" s="10"/>
      <c r="Q42" s="3"/>
      <c r="R42" s="3"/>
      <c r="AO42" s="448"/>
    </row>
    <row r="43" spans="3:41" ht="13.5" thickBot="1">
      <c r="C43" s="3"/>
      <c r="D43" s="3"/>
      <c r="E43" s="3"/>
      <c r="F43" s="3"/>
      <c r="G43" s="3"/>
      <c r="H43" s="3"/>
      <c r="I43" s="3"/>
      <c r="J43" s="3"/>
      <c r="K43" s="3"/>
      <c r="L43" s="3"/>
      <c r="M43" s="10"/>
      <c r="N43" s="3"/>
      <c r="O43" s="3"/>
      <c r="P43" s="10"/>
      <c r="Q43" s="3"/>
      <c r="R43" s="3"/>
      <c r="S43" s="10"/>
      <c r="T43" s="10"/>
      <c r="U43" s="3"/>
      <c r="X43" s="48" t="s">
        <v>16</v>
      </c>
      <c r="AO43" s="448"/>
    </row>
    <row r="44" spans="3:41" ht="13.5" thickBot="1">
      <c r="C44" s="3"/>
      <c r="D44" s="112" t="str">
        <f>IF(X44=1,"X","")</f>
        <v>X</v>
      </c>
      <c r="E44" s="3" t="s">
        <v>248</v>
      </c>
      <c r="F44" s="3"/>
      <c r="G44" s="3"/>
      <c r="H44" s="3" t="s">
        <v>70</v>
      </c>
      <c r="I44" s="79">
        <v>0</v>
      </c>
      <c r="J44" s="94" t="str">
        <f>IF(X44=1,"Classe I","")</f>
        <v>Classe I</v>
      </c>
      <c r="K44" s="3"/>
      <c r="L44" s="94"/>
      <c r="M44" s="95">
        <f>IF(X44=1,I44,"")</f>
        <v>0</v>
      </c>
      <c r="N44" s="3"/>
      <c r="O44" s="3"/>
      <c r="P44" s="10"/>
      <c r="Q44" s="3"/>
      <c r="R44" s="3"/>
      <c r="S44" s="10"/>
      <c r="T44" s="116"/>
      <c r="U44" s="3"/>
      <c r="V44" s="38">
        <f>IF(G41&lt;5%,1,0)</f>
        <v>1</v>
      </c>
      <c r="W44" s="54"/>
      <c r="X44" s="54">
        <f>SUM(V44:W44)</f>
        <v>1</v>
      </c>
      <c r="Y44" s="3"/>
      <c r="Z44" s="3"/>
      <c r="AA44" s="3"/>
      <c r="AB44" s="3"/>
      <c r="AO44" s="448"/>
    </row>
    <row r="45" spans="3:41" ht="13.5" thickBot="1">
      <c r="C45" s="3"/>
      <c r="D45" s="112">
        <f aca="true" t="shared" si="0" ref="D45:D53">IF(X45=2,"X","")</f>
      </c>
      <c r="E45" s="3" t="s">
        <v>250</v>
      </c>
      <c r="F45" s="3"/>
      <c r="G45" s="3"/>
      <c r="H45" s="3" t="s">
        <v>71</v>
      </c>
      <c r="I45" s="79">
        <v>5</v>
      </c>
      <c r="J45" s="94">
        <f>IF(X45=2,"Classe II","")</f>
      </c>
      <c r="K45" s="3"/>
      <c r="L45" s="94"/>
      <c r="M45" s="95">
        <f>IF(X45=2,I45,"")</f>
      </c>
      <c r="N45" s="3"/>
      <c r="O45" s="3"/>
      <c r="P45" s="10"/>
      <c r="Q45" s="3"/>
      <c r="R45" s="3"/>
      <c r="S45" s="10"/>
      <c r="T45" s="116"/>
      <c r="U45" s="3"/>
      <c r="V45" s="38">
        <f>IF($G$41&gt;5.01%,1,0)</f>
        <v>0</v>
      </c>
      <c r="W45" s="54">
        <f>IF($G$41&lt;=10%,1,0)</f>
        <v>1</v>
      </c>
      <c r="X45" s="54">
        <f aca="true" t="shared" si="1" ref="X45:X54">SUM(V45:W45)</f>
        <v>1</v>
      </c>
      <c r="Y45" s="3"/>
      <c r="Z45" s="3"/>
      <c r="AA45" s="3"/>
      <c r="AB45" s="3"/>
      <c r="AO45" s="448"/>
    </row>
    <row r="46" spans="3:41" ht="13.5" thickBot="1">
      <c r="C46" s="3"/>
      <c r="D46" s="112">
        <f t="shared" si="0"/>
      </c>
      <c r="E46" s="3" t="s">
        <v>251</v>
      </c>
      <c r="F46" s="3"/>
      <c r="G46" s="3"/>
      <c r="H46" s="3" t="s">
        <v>72</v>
      </c>
      <c r="I46" s="79">
        <v>10</v>
      </c>
      <c r="J46" s="94">
        <f>IF(X46=2,"Classe III","")</f>
      </c>
      <c r="K46" s="3"/>
      <c r="L46" s="94"/>
      <c r="M46" s="95">
        <f aca="true" t="shared" si="2" ref="M46:M53">IF(X46=2,I46,"")</f>
      </c>
      <c r="N46" s="3"/>
      <c r="O46" s="3"/>
      <c r="P46" s="10"/>
      <c r="Q46" s="3"/>
      <c r="R46" s="3"/>
      <c r="S46" s="10"/>
      <c r="T46" s="116"/>
      <c r="U46" s="3"/>
      <c r="V46" s="38">
        <f>IF($G$41&gt;10.01%,1,0)</f>
        <v>0</v>
      </c>
      <c r="W46" s="54">
        <f>IF($G$41&lt;=15%,1,0)</f>
        <v>1</v>
      </c>
      <c r="X46" s="54">
        <f t="shared" si="1"/>
        <v>1</v>
      </c>
      <c r="Y46" s="3"/>
      <c r="Z46" s="3"/>
      <c r="AA46" s="3"/>
      <c r="AB46" s="3"/>
      <c r="AO46" s="448"/>
    </row>
    <row r="47" spans="3:41" ht="13.5" thickBot="1">
      <c r="C47" s="3"/>
      <c r="D47" s="112">
        <f t="shared" si="0"/>
      </c>
      <c r="E47" s="3" t="s">
        <v>252</v>
      </c>
      <c r="F47" s="3"/>
      <c r="G47" s="3"/>
      <c r="H47" s="3" t="s">
        <v>73</v>
      </c>
      <c r="I47" s="79">
        <v>15</v>
      </c>
      <c r="J47" s="94">
        <f>IF(X47=2,"Classe IV","")</f>
      </c>
      <c r="K47" s="3"/>
      <c r="L47" s="94"/>
      <c r="M47" s="95">
        <f t="shared" si="2"/>
      </c>
      <c r="N47" s="3"/>
      <c r="O47" s="3"/>
      <c r="P47" s="10"/>
      <c r="Q47" s="3"/>
      <c r="R47" s="3"/>
      <c r="S47" s="10"/>
      <c r="T47" s="116"/>
      <c r="V47" s="38">
        <f>IF($G$41&gt;15.01%,1,0)</f>
        <v>0</v>
      </c>
      <c r="W47" s="54">
        <f>IF($G$41&lt;=20%,1,0)</f>
        <v>1</v>
      </c>
      <c r="X47" s="54">
        <f t="shared" si="1"/>
        <v>1</v>
      </c>
      <c r="Y47" s="3"/>
      <c r="Z47" s="3"/>
      <c r="AA47" s="3"/>
      <c r="AB47" s="3"/>
      <c r="AO47" s="448"/>
    </row>
    <row r="48" spans="3:41" ht="13.5" thickBot="1">
      <c r="C48" s="3"/>
      <c r="D48" s="112">
        <f t="shared" si="0"/>
      </c>
      <c r="E48" s="3" t="s">
        <v>253</v>
      </c>
      <c r="F48" s="3"/>
      <c r="G48" s="3"/>
      <c r="H48" s="3" t="s">
        <v>74</v>
      </c>
      <c r="I48" s="79">
        <v>20</v>
      </c>
      <c r="J48" s="94">
        <f>IF(X48=2,"Classe V","")</f>
      </c>
      <c r="K48" s="3"/>
      <c r="L48" s="94"/>
      <c r="M48" s="95">
        <f t="shared" si="2"/>
      </c>
      <c r="N48" s="3"/>
      <c r="O48" s="3"/>
      <c r="P48" s="10"/>
      <c r="Q48" s="3"/>
      <c r="R48" s="3"/>
      <c r="S48" s="10"/>
      <c r="T48" s="116"/>
      <c r="U48" s="3"/>
      <c r="V48" s="38">
        <f>IF($G$41&gt;20.01%,1,0)</f>
        <v>0</v>
      </c>
      <c r="W48" s="54">
        <f>IF($G$41&lt;=25%,1,0)</f>
        <v>1</v>
      </c>
      <c r="X48" s="54">
        <f t="shared" si="1"/>
        <v>1</v>
      </c>
      <c r="Y48" s="3"/>
      <c r="Z48" s="3"/>
      <c r="AA48" s="3"/>
      <c r="AB48" s="3"/>
      <c r="AO48" s="448"/>
    </row>
    <row r="49" spans="3:41" ht="13.5" thickBot="1">
      <c r="C49" s="3"/>
      <c r="D49" s="112">
        <f t="shared" si="0"/>
      </c>
      <c r="E49" s="3" t="s">
        <v>254</v>
      </c>
      <c r="F49" s="3"/>
      <c r="G49" s="3"/>
      <c r="H49" s="3" t="s">
        <v>75</v>
      </c>
      <c r="I49" s="79">
        <v>25</v>
      </c>
      <c r="J49" s="94">
        <f>IF(X49=2,"Classe VI","")</f>
      </c>
      <c r="K49" s="3"/>
      <c r="L49" s="94"/>
      <c r="M49" s="95">
        <f t="shared" si="2"/>
      </c>
      <c r="N49" s="3"/>
      <c r="O49" s="3"/>
      <c r="P49" s="10"/>
      <c r="Q49" s="3"/>
      <c r="R49" s="3"/>
      <c r="S49" s="10"/>
      <c r="T49" s="116"/>
      <c r="U49" s="3"/>
      <c r="V49" s="38">
        <f>IF($G$41&gt;25.01%,1,0)</f>
        <v>0</v>
      </c>
      <c r="W49" s="54">
        <f>IF($G$41&lt;=30%,1,0)</f>
        <v>1</v>
      </c>
      <c r="X49" s="54">
        <f t="shared" si="1"/>
        <v>1</v>
      </c>
      <c r="Y49" s="3"/>
      <c r="Z49" s="3"/>
      <c r="AA49" s="3"/>
      <c r="AB49" s="3"/>
      <c r="AO49" s="448"/>
    </row>
    <row r="50" spans="3:41" ht="13.5" thickBot="1">
      <c r="C50" s="3"/>
      <c r="D50" s="112">
        <f t="shared" si="0"/>
      </c>
      <c r="E50" s="3" t="s">
        <v>255</v>
      </c>
      <c r="F50" s="3"/>
      <c r="G50" s="3"/>
      <c r="H50" s="3" t="s">
        <v>76</v>
      </c>
      <c r="I50" s="79">
        <v>30</v>
      </c>
      <c r="J50" s="94">
        <f>IF(X50=2,"Classe VII","")</f>
      </c>
      <c r="K50" s="3"/>
      <c r="L50" s="94"/>
      <c r="M50" s="95">
        <f t="shared" si="2"/>
      </c>
      <c r="N50" s="3"/>
      <c r="O50" s="3"/>
      <c r="P50" s="10"/>
      <c r="Q50" s="3"/>
      <c r="R50" s="3"/>
      <c r="S50" s="10"/>
      <c r="T50" s="116"/>
      <c r="U50" s="3"/>
      <c r="V50" s="38">
        <f>IF($G$41&gt;30.01%,1,0)</f>
        <v>0</v>
      </c>
      <c r="W50" s="54">
        <f>IF($G$41&lt;=35%,1,0)</f>
        <v>1</v>
      </c>
      <c r="X50" s="54">
        <f t="shared" si="1"/>
        <v>1</v>
      </c>
      <c r="Y50" s="3"/>
      <c r="Z50" s="3"/>
      <c r="AA50" s="3"/>
      <c r="AB50" s="3"/>
      <c r="AO50" s="448"/>
    </row>
    <row r="51" spans="3:41" ht="13.5" thickBot="1">
      <c r="C51" s="3"/>
      <c r="D51" s="112">
        <f t="shared" si="0"/>
      </c>
      <c r="E51" s="3" t="s">
        <v>256</v>
      </c>
      <c r="F51" s="3"/>
      <c r="G51" s="3"/>
      <c r="H51" s="3" t="s">
        <v>77</v>
      </c>
      <c r="I51" s="79">
        <v>35</v>
      </c>
      <c r="J51" s="94">
        <f>IF(X51=2,"Classe VIII","")</f>
      </c>
      <c r="K51" s="3"/>
      <c r="L51" s="94"/>
      <c r="M51" s="95">
        <f t="shared" si="2"/>
      </c>
      <c r="N51" s="3"/>
      <c r="O51" s="3"/>
      <c r="P51" s="10"/>
      <c r="Q51" s="3"/>
      <c r="R51" s="3"/>
      <c r="S51" s="10"/>
      <c r="T51" s="116"/>
      <c r="U51" s="3"/>
      <c r="V51" s="38">
        <f>IF($G$41&gt;35.01%,1,0)</f>
        <v>0</v>
      </c>
      <c r="W51" s="54">
        <f>IF($G$41&lt;=40%,1,0)</f>
        <v>1</v>
      </c>
      <c r="X51" s="54">
        <f t="shared" si="1"/>
        <v>1</v>
      </c>
      <c r="Y51" s="3"/>
      <c r="Z51" s="3"/>
      <c r="AA51" s="3"/>
      <c r="AB51" s="3"/>
      <c r="AO51" s="448"/>
    </row>
    <row r="52" spans="3:41" ht="13.5" thickBot="1">
      <c r="C52" s="3"/>
      <c r="D52" s="112">
        <f t="shared" si="0"/>
      </c>
      <c r="E52" s="3" t="s">
        <v>257</v>
      </c>
      <c r="F52" s="3"/>
      <c r="G52" s="3"/>
      <c r="H52" s="3" t="s">
        <v>78</v>
      </c>
      <c r="I52" s="79">
        <v>40</v>
      </c>
      <c r="J52" s="94">
        <f>IF(X52=2,"Classe IX","")</f>
      </c>
      <c r="K52" s="3"/>
      <c r="L52" s="94"/>
      <c r="M52" s="95">
        <f t="shared" si="2"/>
      </c>
      <c r="N52" s="3"/>
      <c r="O52" s="3"/>
      <c r="P52" s="10"/>
      <c r="Q52" s="3"/>
      <c r="R52" s="3"/>
      <c r="S52" s="10"/>
      <c r="T52" s="116"/>
      <c r="U52" s="3"/>
      <c r="V52" s="38">
        <f>IF($G$41&gt;40.01%,1,0)</f>
        <v>0</v>
      </c>
      <c r="W52" s="54">
        <f>IF($G$41&lt;=45%,1,0)</f>
        <v>1</v>
      </c>
      <c r="X52" s="54">
        <f t="shared" si="1"/>
        <v>1</v>
      </c>
      <c r="Y52" s="3"/>
      <c r="Z52" s="3"/>
      <c r="AA52" s="3"/>
      <c r="AB52" s="3"/>
      <c r="AO52" s="448"/>
    </row>
    <row r="53" spans="3:41" ht="13.5" thickBot="1">
      <c r="C53" s="3"/>
      <c r="D53" s="112">
        <f t="shared" si="0"/>
      </c>
      <c r="E53" s="3" t="s">
        <v>258</v>
      </c>
      <c r="F53" s="3"/>
      <c r="G53" s="3"/>
      <c r="H53" s="3" t="s">
        <v>79</v>
      </c>
      <c r="I53" s="79">
        <v>45</v>
      </c>
      <c r="J53" s="94">
        <f>IF(X53=2,"Classe X","")</f>
      </c>
      <c r="K53" s="3"/>
      <c r="L53" s="94"/>
      <c r="M53" s="95">
        <f t="shared" si="2"/>
      </c>
      <c r="N53" s="3"/>
      <c r="O53" s="3"/>
      <c r="P53" s="10"/>
      <c r="Q53" s="3"/>
      <c r="R53" s="3"/>
      <c r="S53" s="10"/>
      <c r="T53" s="116"/>
      <c r="U53" s="3"/>
      <c r="V53" s="38">
        <f>IF($G$41&gt;45.01%,1,0)</f>
        <v>0</v>
      </c>
      <c r="W53" s="54">
        <f>IF($G$41&lt;=50%,1,0)</f>
        <v>1</v>
      </c>
      <c r="X53" s="54">
        <f t="shared" si="1"/>
        <v>1</v>
      </c>
      <c r="Y53" s="3"/>
      <c r="Z53" s="3"/>
      <c r="AA53" s="3"/>
      <c r="AB53" s="3"/>
      <c r="AO53" s="448"/>
    </row>
    <row r="54" spans="3:41" ht="13.5" thickBot="1">
      <c r="C54" s="3"/>
      <c r="D54" s="112">
        <f>IF(X54=1,"X","")</f>
      </c>
      <c r="E54" s="3" t="s">
        <v>148</v>
      </c>
      <c r="F54" s="3"/>
      <c r="G54" s="3"/>
      <c r="H54" s="3" t="s">
        <v>80</v>
      </c>
      <c r="I54" s="79">
        <v>50</v>
      </c>
      <c r="J54" s="94">
        <f>IF(X54=1,"Classe XI","")</f>
      </c>
      <c r="K54" s="3"/>
      <c r="L54" s="94"/>
      <c r="M54" s="95">
        <f>IF(X54=1,I54,"")</f>
      </c>
      <c r="N54" s="3"/>
      <c r="O54" s="3"/>
      <c r="P54" s="10"/>
      <c r="Q54" s="3"/>
      <c r="R54" s="3"/>
      <c r="S54" s="10"/>
      <c r="T54" s="116"/>
      <c r="U54" s="3"/>
      <c r="V54" s="38">
        <f>IF(G41&gt;50.01%,1,0)</f>
        <v>0</v>
      </c>
      <c r="W54" s="54"/>
      <c r="X54" s="54">
        <f t="shared" si="1"/>
        <v>0</v>
      </c>
      <c r="Y54" s="3"/>
      <c r="Z54" s="3"/>
      <c r="AA54" s="3"/>
      <c r="AB54" s="3"/>
      <c r="AO54" s="448"/>
    </row>
    <row r="55" spans="3:41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42"/>
      <c r="N55" s="3"/>
      <c r="O55" s="3"/>
      <c r="P55" s="10"/>
      <c r="Q55" s="3"/>
      <c r="R55" s="3"/>
      <c r="S55" s="10"/>
      <c r="T55" s="10"/>
      <c r="U55" s="3"/>
      <c r="Y55" s="3"/>
      <c r="Z55" s="3"/>
      <c r="AA55" s="3"/>
      <c r="AB55" s="3"/>
      <c r="AO55" s="448"/>
    </row>
    <row r="56" spans="3:41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10"/>
      <c r="N56" s="3"/>
      <c r="O56" s="3"/>
      <c r="P56" s="10"/>
      <c r="Q56" s="3"/>
      <c r="R56" s="3"/>
      <c r="U56" s="52">
        <f>SUM(M44:M54)</f>
        <v>0</v>
      </c>
      <c r="AO56" s="448"/>
    </row>
    <row r="57" spans="3:41" ht="12.75">
      <c r="C57" s="3"/>
      <c r="D57" s="3"/>
      <c r="E57" s="3" t="s">
        <v>260</v>
      </c>
      <c r="F57" s="3"/>
      <c r="G57" s="3"/>
      <c r="H57" s="3"/>
      <c r="I57" s="3"/>
      <c r="J57" s="3"/>
      <c r="K57" s="3"/>
      <c r="L57" s="3"/>
      <c r="M57" s="10"/>
      <c r="N57" s="3"/>
      <c r="O57" s="3"/>
      <c r="P57" s="10"/>
      <c r="Q57" s="3"/>
      <c r="R57" s="3"/>
      <c r="AO57" s="448"/>
    </row>
    <row r="58" spans="3:41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10"/>
      <c r="N58" s="3"/>
      <c r="O58" s="3"/>
      <c r="P58" s="10"/>
      <c r="Q58" s="3"/>
      <c r="R58" s="3"/>
      <c r="AO58" s="448"/>
    </row>
    <row r="59" spans="3:41" ht="15.75" customHeight="1">
      <c r="C59" s="3"/>
      <c r="D59" s="3"/>
      <c r="E59" s="3"/>
      <c r="F59" s="3"/>
      <c r="G59" s="96" t="s">
        <v>261</v>
      </c>
      <c r="H59" s="125">
        <f>'Valore OMI_Usi'!S25</f>
        <v>0</v>
      </c>
      <c r="I59" s="3" t="s">
        <v>259</v>
      </c>
      <c r="J59" s="97"/>
      <c r="K59" s="3"/>
      <c r="L59" s="3"/>
      <c r="M59" s="10"/>
      <c r="N59" s="3"/>
      <c r="O59" s="3"/>
      <c r="P59" s="10"/>
      <c r="Q59" s="3"/>
      <c r="R59" s="3"/>
      <c r="AO59" s="448"/>
    </row>
    <row r="60" spans="3:41" ht="12.75" hidden="1">
      <c r="C60" s="3"/>
      <c r="D60" s="3"/>
      <c r="E60" s="3"/>
      <c r="F60" s="3"/>
      <c r="G60" s="3"/>
      <c r="H60" s="3"/>
      <c r="I60" s="3"/>
      <c r="J60" s="3"/>
      <c r="K60" s="3"/>
      <c r="L60" s="3"/>
      <c r="M60" s="10"/>
      <c r="N60" s="3"/>
      <c r="O60" s="3"/>
      <c r="P60" s="10"/>
      <c r="Q60" s="3"/>
      <c r="R60" s="3"/>
      <c r="AO60" s="448"/>
    </row>
    <row r="61" spans="3:41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10"/>
      <c r="N61" s="3"/>
      <c r="O61" s="3"/>
      <c r="P61" s="10"/>
      <c r="Q61" s="3"/>
      <c r="R61" s="3"/>
      <c r="S61" s="10"/>
      <c r="T61" s="10"/>
      <c r="U61" s="3"/>
      <c r="V61" s="3"/>
      <c r="W61" s="3"/>
      <c r="X61" s="10"/>
      <c r="Y61" s="3"/>
      <c r="AO61" s="448"/>
    </row>
    <row r="62" spans="3:41" ht="12.75">
      <c r="C62" s="3"/>
      <c r="D62" s="3"/>
      <c r="E62" s="3" t="s">
        <v>262</v>
      </c>
      <c r="F62" s="3"/>
      <c r="G62" s="3"/>
      <c r="H62" s="3"/>
      <c r="I62" s="3"/>
      <c r="J62" s="3"/>
      <c r="K62" s="3"/>
      <c r="L62" s="3"/>
      <c r="M62" s="10"/>
      <c r="N62" s="3"/>
      <c r="O62" s="3"/>
      <c r="P62" s="10"/>
      <c r="Q62" s="3"/>
      <c r="R62" s="3"/>
      <c r="S62" s="10"/>
      <c r="T62" s="10"/>
      <c r="U62" s="3"/>
      <c r="V62" s="3"/>
      <c r="W62" s="3"/>
      <c r="X62" s="10"/>
      <c r="Y62" s="3"/>
      <c r="AO62" s="448"/>
    </row>
    <row r="63" spans="3:41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10"/>
      <c r="N63" s="3"/>
      <c r="O63" s="3"/>
      <c r="P63" s="10"/>
      <c r="Q63" s="3"/>
      <c r="R63" s="3"/>
      <c r="S63" s="10"/>
      <c r="T63" s="10"/>
      <c r="U63" s="3"/>
      <c r="V63" s="3"/>
      <c r="W63" s="3"/>
      <c r="X63" s="10"/>
      <c r="Y63" s="3"/>
      <c r="AO63" s="448"/>
    </row>
    <row r="64" spans="3:41" ht="12.75">
      <c r="C64" s="3"/>
      <c r="D64" s="3"/>
      <c r="E64" s="98" t="s">
        <v>210</v>
      </c>
      <c r="F64" s="168">
        <f>H59</f>
        <v>0</v>
      </c>
      <c r="G64" s="172">
        <f>1+P41</f>
        <v>1</v>
      </c>
      <c r="H64" s="171">
        <f>H59*G64</f>
        <v>0</v>
      </c>
      <c r="I64" s="3"/>
      <c r="J64" s="3"/>
      <c r="K64" s="3"/>
      <c r="L64" s="3"/>
      <c r="M64" s="10"/>
      <c r="N64" s="3"/>
      <c r="O64" s="3"/>
      <c r="P64" s="10"/>
      <c r="Q64" s="3"/>
      <c r="R64" s="3"/>
      <c r="S64" s="10"/>
      <c r="T64" s="547"/>
      <c r="U64" s="547"/>
      <c r="V64" s="3"/>
      <c r="W64" s="3"/>
      <c r="X64" s="10"/>
      <c r="Y64" s="111"/>
      <c r="AO64" s="448"/>
    </row>
    <row r="65" spans="3:41" ht="12.75">
      <c r="C65" s="3"/>
      <c r="D65" s="3"/>
      <c r="E65" s="99" t="s">
        <v>210</v>
      </c>
      <c r="F65" s="90" t="s">
        <v>99</v>
      </c>
      <c r="G65" s="90" t="s">
        <v>38</v>
      </c>
      <c r="H65" s="67" t="s">
        <v>37</v>
      </c>
      <c r="I65" s="3"/>
      <c r="J65" s="3"/>
      <c r="K65" s="3"/>
      <c r="L65" s="3"/>
      <c r="M65" s="10"/>
      <c r="N65" s="3"/>
      <c r="O65" s="3"/>
      <c r="P65" s="5"/>
      <c r="Q65" s="3"/>
      <c r="R65" s="3"/>
      <c r="S65" s="10"/>
      <c r="T65" s="10"/>
      <c r="U65" s="3"/>
      <c r="V65" s="3"/>
      <c r="W65" s="3"/>
      <c r="X65" s="10"/>
      <c r="Y65" s="3"/>
      <c r="AO65" s="448"/>
    </row>
    <row r="66" spans="3:41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10"/>
      <c r="N66" s="3"/>
      <c r="O66" s="3"/>
      <c r="P66" s="10"/>
      <c r="Q66" s="3"/>
      <c r="R66" s="3"/>
      <c r="S66" s="10"/>
      <c r="T66" s="10"/>
      <c r="U66" s="3"/>
      <c r="V66" s="3"/>
      <c r="W66" s="3"/>
      <c r="X66" s="10"/>
      <c r="Y66" s="3"/>
      <c r="AO66" s="448"/>
    </row>
    <row r="67" spans="3:41" ht="12.75">
      <c r="C67" s="3"/>
      <c r="D67" s="3"/>
      <c r="E67" s="3" t="s">
        <v>263</v>
      </c>
      <c r="F67" s="3"/>
      <c r="G67" s="3"/>
      <c r="H67" s="3"/>
      <c r="I67" s="3"/>
      <c r="J67" s="3"/>
      <c r="K67" s="3"/>
      <c r="L67" s="3"/>
      <c r="M67" s="10"/>
      <c r="N67" s="3"/>
      <c r="O67" s="3"/>
      <c r="P67" s="10"/>
      <c r="Q67" s="3"/>
      <c r="R67" s="3"/>
      <c r="S67" s="10"/>
      <c r="T67" s="10"/>
      <c r="U67" s="3"/>
      <c r="V67" s="3"/>
      <c r="W67" s="3"/>
      <c r="X67" s="10"/>
      <c r="Y67" s="3"/>
      <c r="AO67" s="448"/>
    </row>
    <row r="68" spans="3:41" ht="12.75">
      <c r="C68" s="3"/>
      <c r="D68" s="3"/>
      <c r="E68" s="98" t="s">
        <v>2</v>
      </c>
      <c r="F68" s="69" t="s">
        <v>191</v>
      </c>
      <c r="G68" s="107"/>
      <c r="H68" s="107"/>
      <c r="I68" s="107"/>
      <c r="J68" s="3"/>
      <c r="K68" s="3"/>
      <c r="L68" s="3"/>
      <c r="M68" s="10"/>
      <c r="N68" s="3"/>
      <c r="O68" s="3"/>
      <c r="P68" s="10"/>
      <c r="Q68" s="3"/>
      <c r="R68" s="3"/>
      <c r="S68" s="49"/>
      <c r="T68" s="49"/>
      <c r="U68" s="50"/>
      <c r="V68" s="50"/>
      <c r="W68" s="50"/>
      <c r="X68" s="49"/>
      <c r="Y68" s="50"/>
      <c r="Z68" s="37"/>
      <c r="AO68" s="448"/>
    </row>
    <row r="69" spans="3:41" ht="12.75">
      <c r="C69" s="3"/>
      <c r="D69" s="3"/>
      <c r="E69" s="98" t="s">
        <v>2</v>
      </c>
      <c r="F69" s="69" t="s">
        <v>88</v>
      </c>
      <c r="G69" s="107"/>
      <c r="H69" s="107"/>
      <c r="I69" s="107"/>
      <c r="J69" s="3"/>
      <c r="K69" s="3"/>
      <c r="L69" s="3"/>
      <c r="M69" s="10"/>
      <c r="N69" s="3"/>
      <c r="O69" s="3"/>
      <c r="P69" s="10"/>
      <c r="Q69" s="3"/>
      <c r="R69" s="3"/>
      <c r="S69" s="48"/>
      <c r="T69" s="48"/>
      <c r="U69" s="37"/>
      <c r="V69" s="37"/>
      <c r="W69" s="37"/>
      <c r="X69" s="48"/>
      <c r="Y69" s="37"/>
      <c r="Z69" s="37"/>
      <c r="AO69" s="448"/>
    </row>
    <row r="70" spans="3:41" ht="12.75" hidden="1">
      <c r="C70" s="3"/>
      <c r="D70" s="3"/>
      <c r="E70" s="3"/>
      <c r="F70" s="3"/>
      <c r="G70" s="3"/>
      <c r="H70" s="3"/>
      <c r="I70" s="3"/>
      <c r="J70" s="3"/>
      <c r="K70" s="3"/>
      <c r="L70" s="3"/>
      <c r="M70" s="10"/>
      <c r="N70" s="3"/>
      <c r="O70" s="3"/>
      <c r="P70" s="10"/>
      <c r="Q70" s="3"/>
      <c r="R70" s="3"/>
      <c r="S70" s="49"/>
      <c r="T70" s="49"/>
      <c r="U70" s="50"/>
      <c r="V70" s="50"/>
      <c r="W70" s="50"/>
      <c r="X70" s="49"/>
      <c r="Y70" s="50"/>
      <c r="Z70" s="50"/>
      <c r="AO70" s="448"/>
    </row>
    <row r="71" spans="3:41" ht="12.75" hidden="1">
      <c r="C71" s="3"/>
      <c r="D71" s="3"/>
      <c r="E71" s="3"/>
      <c r="F71" s="3"/>
      <c r="G71" s="3"/>
      <c r="H71" s="3"/>
      <c r="I71" s="3"/>
      <c r="J71" s="3"/>
      <c r="K71" s="3"/>
      <c r="L71" s="3"/>
      <c r="M71" s="10"/>
      <c r="N71" s="3"/>
      <c r="O71" s="3"/>
      <c r="P71" s="10"/>
      <c r="Q71" s="3"/>
      <c r="R71" s="3"/>
      <c r="S71" s="49"/>
      <c r="T71" s="49"/>
      <c r="U71" s="50"/>
      <c r="V71" s="50"/>
      <c r="W71" s="50"/>
      <c r="X71" s="49"/>
      <c r="Y71" s="50"/>
      <c r="Z71" s="50"/>
      <c r="AO71" s="448"/>
    </row>
    <row r="72" spans="3:41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10"/>
      <c r="N72" s="3"/>
      <c r="O72" s="3"/>
      <c r="P72" s="10"/>
      <c r="Q72" s="3"/>
      <c r="R72" s="3"/>
      <c r="S72" s="49"/>
      <c r="T72" s="49"/>
      <c r="U72" s="50"/>
      <c r="V72" s="50"/>
      <c r="W72" s="50"/>
      <c r="X72" s="49"/>
      <c r="Y72" s="50"/>
      <c r="Z72" s="50"/>
      <c r="AO72" s="448"/>
    </row>
    <row r="73" spans="3:41" ht="12.75">
      <c r="C73" s="3"/>
      <c r="D73" s="3"/>
      <c r="E73" s="5" t="s">
        <v>264</v>
      </c>
      <c r="F73" s="3"/>
      <c r="G73" s="3"/>
      <c r="H73" s="3"/>
      <c r="I73" s="3"/>
      <c r="J73" s="3"/>
      <c r="K73" s="3"/>
      <c r="L73" s="3"/>
      <c r="M73" s="10"/>
      <c r="N73" s="3"/>
      <c r="O73" s="3"/>
      <c r="P73" s="10"/>
      <c r="Q73" s="3"/>
      <c r="R73" s="3"/>
      <c r="S73" s="49"/>
      <c r="T73" s="49"/>
      <c r="U73" s="50"/>
      <c r="V73" s="50"/>
      <c r="W73" s="50"/>
      <c r="X73" s="49"/>
      <c r="Y73" s="49" t="s">
        <v>87</v>
      </c>
      <c r="Z73" s="50"/>
      <c r="AO73" s="448"/>
    </row>
    <row r="74" spans="3:41" ht="12.75">
      <c r="C74" s="3"/>
      <c r="D74" s="3"/>
      <c r="E74" s="5"/>
      <c r="F74" s="3"/>
      <c r="G74" s="3"/>
      <c r="H74" s="3"/>
      <c r="I74" s="3"/>
      <c r="J74" s="3"/>
      <c r="K74" s="3"/>
      <c r="L74" s="3"/>
      <c r="M74" s="10"/>
      <c r="N74" s="3"/>
      <c r="O74" s="3"/>
      <c r="P74" s="10"/>
      <c r="Q74" s="3"/>
      <c r="R74" s="3"/>
      <c r="S74" s="49"/>
      <c r="T74" s="49"/>
      <c r="U74" s="50"/>
      <c r="V74" s="50"/>
      <c r="W74" s="50"/>
      <c r="X74" s="49"/>
      <c r="Y74" s="54">
        <f>IF(H64*T93&gt;25,H64*T93,0)</f>
        <v>0</v>
      </c>
      <c r="Z74" s="50"/>
      <c r="AO74" s="448"/>
    </row>
    <row r="75" spans="3:41" ht="12.75">
      <c r="C75" s="3"/>
      <c r="D75" s="3"/>
      <c r="E75" s="99" t="s">
        <v>150</v>
      </c>
      <c r="F75" s="169">
        <f>Y76</f>
        <v>25</v>
      </c>
      <c r="G75" s="170">
        <f>T36</f>
        <v>0</v>
      </c>
      <c r="H75" s="179">
        <f>F75*G75</f>
        <v>0</v>
      </c>
      <c r="I75" s="3"/>
      <c r="J75" s="3"/>
      <c r="K75" s="3"/>
      <c r="L75" s="3"/>
      <c r="M75" s="75"/>
      <c r="N75" s="3"/>
      <c r="O75" s="3"/>
      <c r="P75" s="10"/>
      <c r="Q75" s="3"/>
      <c r="R75" s="3"/>
      <c r="S75" s="49"/>
      <c r="T75" s="103"/>
      <c r="U75" s="50"/>
      <c r="V75" s="50"/>
      <c r="W75" s="50"/>
      <c r="X75" s="49"/>
      <c r="Y75" s="54">
        <f>IF(H64*T93&lt;25,25,0)</f>
        <v>25</v>
      </c>
      <c r="Z75" s="50"/>
      <c r="AO75" s="448"/>
    </row>
    <row r="76" spans="3:41" ht="12.75">
      <c r="C76" s="3"/>
      <c r="D76" s="3"/>
      <c r="E76" s="99" t="s">
        <v>150</v>
      </c>
      <c r="F76" s="90" t="s">
        <v>179</v>
      </c>
      <c r="G76" s="90" t="s">
        <v>180</v>
      </c>
      <c r="H76" s="100" t="s">
        <v>472</v>
      </c>
      <c r="I76" s="3"/>
      <c r="J76" s="3"/>
      <c r="K76" s="3"/>
      <c r="L76" s="3"/>
      <c r="M76" s="10"/>
      <c r="N76" s="3"/>
      <c r="O76" s="3"/>
      <c r="P76" s="10"/>
      <c r="Q76" s="3"/>
      <c r="R76" s="3"/>
      <c r="S76" s="49"/>
      <c r="T76" s="49"/>
      <c r="U76" s="50"/>
      <c r="V76" s="50"/>
      <c r="W76" s="50"/>
      <c r="X76" s="49"/>
      <c r="Y76" s="54">
        <f>SUM(Y74:Y75)</f>
        <v>25</v>
      </c>
      <c r="Z76" s="50"/>
      <c r="AO76" s="448"/>
    </row>
    <row r="77" spans="3:41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10"/>
      <c r="N77" s="3"/>
      <c r="O77" s="3"/>
      <c r="P77" s="10"/>
      <c r="Q77" s="3"/>
      <c r="R77" s="3"/>
      <c r="V77" s="50"/>
      <c r="W77" s="50"/>
      <c r="X77" s="49"/>
      <c r="Y77" s="50"/>
      <c r="Z77" s="50"/>
      <c r="AO77" s="448"/>
    </row>
    <row r="78" spans="3:41" ht="12.75">
      <c r="C78" s="3"/>
      <c r="D78" s="3"/>
      <c r="E78" s="67" t="s">
        <v>263</v>
      </c>
      <c r="F78" s="67"/>
      <c r="G78" s="67"/>
      <c r="H78" s="67"/>
      <c r="I78" s="67"/>
      <c r="J78" s="67"/>
      <c r="K78" s="67"/>
      <c r="L78" s="67"/>
      <c r="M78" s="90"/>
      <c r="N78" s="67"/>
      <c r="O78" s="3"/>
      <c r="P78" s="10"/>
      <c r="Q78" s="3"/>
      <c r="R78" s="3"/>
      <c r="V78" s="50"/>
      <c r="W78" s="50"/>
      <c r="X78" s="49"/>
      <c r="Y78" s="50"/>
      <c r="Z78" s="50"/>
      <c r="AO78" s="448"/>
    </row>
    <row r="79" spans="3:41" ht="12.75">
      <c r="C79" s="3"/>
      <c r="D79" s="3"/>
      <c r="E79" s="67"/>
      <c r="F79" s="69" t="s">
        <v>181</v>
      </c>
      <c r="G79" s="67"/>
      <c r="H79" s="67"/>
      <c r="I79" s="67"/>
      <c r="J79" s="67"/>
      <c r="K79" s="67"/>
      <c r="L79" s="67"/>
      <c r="M79" s="90"/>
      <c r="N79" s="67"/>
      <c r="O79" s="3"/>
      <c r="P79" s="10"/>
      <c r="Q79" s="3"/>
      <c r="R79" s="3"/>
      <c r="S79" s="49"/>
      <c r="T79" s="49"/>
      <c r="U79" s="50"/>
      <c r="V79" s="50"/>
      <c r="W79" s="50"/>
      <c r="X79" s="49"/>
      <c r="Y79" s="50"/>
      <c r="Z79" s="50"/>
      <c r="AO79" s="448"/>
    </row>
    <row r="80" spans="3:41" ht="12.75">
      <c r="C80" s="3"/>
      <c r="D80" s="3"/>
      <c r="E80" s="67"/>
      <c r="F80" s="69" t="s">
        <v>182</v>
      </c>
      <c r="G80" s="67"/>
      <c r="H80" s="67"/>
      <c r="I80" s="67"/>
      <c r="J80" s="67"/>
      <c r="K80" s="67"/>
      <c r="L80" s="67"/>
      <c r="M80" s="90"/>
      <c r="N80" s="67"/>
      <c r="O80" s="3"/>
      <c r="P80" s="10"/>
      <c r="Q80" s="3"/>
      <c r="R80" s="3"/>
      <c r="S80" s="49"/>
      <c r="T80" s="49"/>
      <c r="U80" s="50"/>
      <c r="V80" s="50"/>
      <c r="W80" s="50"/>
      <c r="X80" s="49"/>
      <c r="Y80" s="50"/>
      <c r="Z80" s="50"/>
      <c r="AO80" s="448"/>
    </row>
    <row r="81" spans="3:41" ht="12.75">
      <c r="C81" s="3"/>
      <c r="D81" s="3"/>
      <c r="E81" s="67"/>
      <c r="F81" s="69" t="s">
        <v>183</v>
      </c>
      <c r="G81" s="67"/>
      <c r="H81" s="67"/>
      <c r="I81" s="67"/>
      <c r="J81" s="67"/>
      <c r="K81" s="67"/>
      <c r="L81" s="67"/>
      <c r="M81" s="90"/>
      <c r="N81" s="67"/>
      <c r="O81" s="3"/>
      <c r="P81" s="10"/>
      <c r="Q81" s="3"/>
      <c r="R81" s="3"/>
      <c r="S81" s="49"/>
      <c r="T81" s="49"/>
      <c r="U81" s="50"/>
      <c r="V81" s="50"/>
      <c r="W81" s="50"/>
      <c r="X81" s="49"/>
      <c r="Y81" s="50"/>
      <c r="Z81" s="50"/>
      <c r="AO81" s="448"/>
    </row>
    <row r="82" spans="3:41" ht="6" customHeight="1">
      <c r="C82" s="3"/>
      <c r="D82" s="3"/>
      <c r="E82" s="67"/>
      <c r="F82" s="67"/>
      <c r="G82" s="67"/>
      <c r="H82" s="67"/>
      <c r="I82" s="67"/>
      <c r="J82" s="67"/>
      <c r="K82" s="67"/>
      <c r="L82" s="67"/>
      <c r="M82" s="90"/>
      <c r="N82" s="67"/>
      <c r="O82" s="3"/>
      <c r="P82" s="10"/>
      <c r="Q82" s="3"/>
      <c r="R82" s="3"/>
      <c r="S82" s="49"/>
      <c r="T82" s="49"/>
      <c r="U82" s="50"/>
      <c r="V82" s="50"/>
      <c r="W82" s="50"/>
      <c r="X82" s="49"/>
      <c r="Y82" s="50"/>
      <c r="Z82" s="50"/>
      <c r="AO82" s="448"/>
    </row>
    <row r="83" spans="3:41" ht="15.75" customHeight="1">
      <c r="C83" s="3"/>
      <c r="D83" s="3"/>
      <c r="E83" s="67" t="s">
        <v>265</v>
      </c>
      <c r="F83" s="3"/>
      <c r="G83" s="3"/>
      <c r="H83" s="3"/>
      <c r="I83" s="3"/>
      <c r="J83" s="3"/>
      <c r="K83" s="3"/>
      <c r="L83" s="3"/>
      <c r="M83" s="10"/>
      <c r="N83" s="3"/>
      <c r="O83" s="3"/>
      <c r="P83" s="10"/>
      <c r="Q83" s="3"/>
      <c r="R83" s="3"/>
      <c r="S83" s="48"/>
      <c r="T83" s="48"/>
      <c r="U83" s="37"/>
      <c r="V83" s="37"/>
      <c r="W83" s="37"/>
      <c r="X83" s="48"/>
      <c r="Y83" s="37"/>
      <c r="Z83" s="37"/>
      <c r="AO83" s="448"/>
    </row>
    <row r="84" spans="3:41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10"/>
      <c r="N84" s="3"/>
      <c r="O84" s="3"/>
      <c r="P84" s="10"/>
      <c r="Q84" s="3"/>
      <c r="R84" s="3"/>
      <c r="S84" s="48"/>
      <c r="T84" s="48"/>
      <c r="U84" s="37"/>
      <c r="V84" s="37"/>
      <c r="W84" s="37"/>
      <c r="X84" s="48"/>
      <c r="Y84" s="37"/>
      <c r="Z84" s="37"/>
      <c r="AO84" s="448"/>
    </row>
    <row r="85" spans="3:41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10"/>
      <c r="N85" s="3"/>
      <c r="O85" s="3"/>
      <c r="P85" s="10"/>
      <c r="Q85" s="3"/>
      <c r="R85" s="3"/>
      <c r="S85" s="48"/>
      <c r="T85" s="48"/>
      <c r="U85" s="37"/>
      <c r="V85" s="37"/>
      <c r="W85" s="37"/>
      <c r="X85" s="48"/>
      <c r="Y85" s="37"/>
      <c r="Z85" s="37"/>
      <c r="AO85" s="448"/>
    </row>
    <row r="86" spans="3:41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10"/>
      <c r="N86" s="3"/>
      <c r="O86" s="3"/>
      <c r="P86" s="10"/>
      <c r="Q86" s="3"/>
      <c r="R86" s="3"/>
      <c r="S86" s="48"/>
      <c r="T86" s="48"/>
      <c r="U86" s="37"/>
      <c r="V86" s="37"/>
      <c r="W86" s="37"/>
      <c r="X86" s="48"/>
      <c r="Y86" s="37"/>
      <c r="Z86" s="37"/>
      <c r="AO86" s="448"/>
    </row>
    <row r="87" spans="3:41" ht="12.75">
      <c r="C87" s="3"/>
      <c r="D87" s="3"/>
      <c r="E87" s="3" t="s">
        <v>266</v>
      </c>
      <c r="F87" s="3"/>
      <c r="G87" s="3"/>
      <c r="H87" s="3"/>
      <c r="I87" s="3"/>
      <c r="J87" s="3"/>
      <c r="K87" s="3"/>
      <c r="L87" s="3"/>
      <c r="M87" s="10"/>
      <c r="N87" s="3"/>
      <c r="O87" s="3"/>
      <c r="P87" s="10"/>
      <c r="Q87" s="3"/>
      <c r="R87" s="3"/>
      <c r="S87" s="48"/>
      <c r="T87" s="48"/>
      <c r="U87" s="37"/>
      <c r="V87" s="37"/>
      <c r="W87" s="37"/>
      <c r="X87" s="48"/>
      <c r="Y87" s="37"/>
      <c r="Z87" s="37"/>
      <c r="AO87" s="448"/>
    </row>
    <row r="88" spans="3:41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10"/>
      <c r="N88" s="3"/>
      <c r="O88" s="3"/>
      <c r="P88" s="10"/>
      <c r="Q88" s="3"/>
      <c r="R88" s="3"/>
      <c r="S88" s="48"/>
      <c r="T88" s="58">
        <f>SUM(K90:K99)</f>
        <v>0.05</v>
      </c>
      <c r="U88" s="37"/>
      <c r="V88" s="37"/>
      <c r="W88" s="37"/>
      <c r="X88" s="48"/>
      <c r="Y88" s="37"/>
      <c r="Z88" s="37"/>
      <c r="AO88" s="448"/>
    </row>
    <row r="89" spans="3:41" ht="13.5" thickBot="1">
      <c r="C89" s="3"/>
      <c r="D89" s="3"/>
      <c r="E89" s="12" t="s">
        <v>267</v>
      </c>
      <c r="F89" s="13"/>
      <c r="G89" s="14"/>
      <c r="H89" s="7" t="s">
        <v>229</v>
      </c>
      <c r="I89" s="3"/>
      <c r="J89" s="101"/>
      <c r="K89" s="101"/>
      <c r="L89" s="101"/>
      <c r="M89" s="102"/>
      <c r="N89" s="101"/>
      <c r="O89" s="101"/>
      <c r="P89" s="102"/>
      <c r="Q89" s="101"/>
      <c r="R89" s="101"/>
      <c r="S89" s="104"/>
      <c r="T89" s="104"/>
      <c r="U89" s="105"/>
      <c r="V89" s="37"/>
      <c r="W89" s="37"/>
      <c r="X89" s="48" t="s">
        <v>16</v>
      </c>
      <c r="Y89" s="37"/>
      <c r="Z89" s="37"/>
      <c r="AO89" s="448"/>
    </row>
    <row r="90" spans="3:41" ht="13.5" thickBot="1">
      <c r="C90" s="3"/>
      <c r="D90" s="112" t="str">
        <f>IF(X90=1,"X","")</f>
        <v>X</v>
      </c>
      <c r="E90" s="13"/>
      <c r="F90" s="13" t="s">
        <v>268</v>
      </c>
      <c r="G90" s="14"/>
      <c r="H90" s="7">
        <v>5</v>
      </c>
      <c r="I90" s="3"/>
      <c r="J90" s="101"/>
      <c r="K90" s="53">
        <f>IF(X90=1,5%,"")</f>
        <v>0.05</v>
      </c>
      <c r="L90" s="101"/>
      <c r="M90" s="102"/>
      <c r="N90" s="101"/>
      <c r="O90" s="101"/>
      <c r="P90" s="102"/>
      <c r="Q90" s="101"/>
      <c r="R90" s="101"/>
      <c r="S90" s="104"/>
      <c r="T90" s="104"/>
      <c r="U90" s="105"/>
      <c r="V90" s="54">
        <f>IF($H$64&lt;500.99,1,0)</f>
        <v>1</v>
      </c>
      <c r="W90" s="54"/>
      <c r="X90" s="54">
        <f>V90+W90</f>
        <v>1</v>
      </c>
      <c r="Y90" s="50"/>
      <c r="Z90" s="37"/>
      <c r="AO90" s="448"/>
    </row>
    <row r="91" spans="3:41" ht="13.5" thickBot="1">
      <c r="C91" s="3"/>
      <c r="D91" s="112">
        <f aca="true" t="shared" si="3" ref="D91:D98">IF(X91=2,"X","")</f>
      </c>
      <c r="E91" s="13"/>
      <c r="F91" s="13" t="s">
        <v>269</v>
      </c>
      <c r="G91" s="14"/>
      <c r="H91" s="7">
        <v>6</v>
      </c>
      <c r="I91" s="3"/>
      <c r="J91" s="101"/>
      <c r="K91" s="53">
        <f>IF(X91=2,6%,"")</f>
      </c>
      <c r="L91" s="101"/>
      <c r="M91" s="102"/>
      <c r="N91" s="101"/>
      <c r="O91" s="101"/>
      <c r="P91" s="102"/>
      <c r="Q91" s="101"/>
      <c r="R91" s="101"/>
      <c r="S91" s="104"/>
      <c r="T91" s="104"/>
      <c r="U91" s="105"/>
      <c r="V91" s="54">
        <f>IF($H$64&gt;501,1,0)</f>
        <v>0</v>
      </c>
      <c r="W91" s="54">
        <f>IF($H$64&lt;1000.99,1,0)</f>
        <v>1</v>
      </c>
      <c r="X91" s="54">
        <f aca="true" t="shared" si="4" ref="X91:X98">V91+W91</f>
        <v>1</v>
      </c>
      <c r="Y91" s="50"/>
      <c r="Z91" s="37"/>
      <c r="AO91" s="448"/>
    </row>
    <row r="92" spans="3:41" ht="13.5" thickBot="1">
      <c r="C92" s="3"/>
      <c r="D92" s="112">
        <f t="shared" si="3"/>
      </c>
      <c r="E92" s="13"/>
      <c r="F92" s="13" t="s">
        <v>270</v>
      </c>
      <c r="G92" s="14"/>
      <c r="H92" s="7">
        <v>7</v>
      </c>
      <c r="I92" s="3"/>
      <c r="J92" s="101"/>
      <c r="K92" s="53">
        <f>IF(X92=2,7%,"")</f>
      </c>
      <c r="L92" s="101"/>
      <c r="M92" s="102"/>
      <c r="N92" s="101"/>
      <c r="O92" s="101"/>
      <c r="P92" s="102"/>
      <c r="Q92" s="101"/>
      <c r="R92" s="101"/>
      <c r="S92" s="104"/>
      <c r="T92" s="104"/>
      <c r="U92" s="105"/>
      <c r="V92" s="54">
        <f>IF($H$64&gt;1001,1,0)</f>
        <v>0</v>
      </c>
      <c r="W92" s="54">
        <f>IF($H$64&lt;1500.99,1,0)</f>
        <v>1</v>
      </c>
      <c r="X92" s="54">
        <f t="shared" si="4"/>
        <v>1</v>
      </c>
      <c r="Y92" s="50"/>
      <c r="Z92" s="37"/>
      <c r="AO92" s="448"/>
    </row>
    <row r="93" spans="3:41" ht="13.5" thickBot="1">
      <c r="C93" s="3"/>
      <c r="D93" s="112">
        <f t="shared" si="3"/>
      </c>
      <c r="E93" s="13"/>
      <c r="F93" s="13" t="s">
        <v>271</v>
      </c>
      <c r="G93" s="14"/>
      <c r="H93" s="7">
        <v>8</v>
      </c>
      <c r="I93" s="3"/>
      <c r="J93" s="101"/>
      <c r="K93" s="53">
        <f>IF(X93=2,8%,"")</f>
      </c>
      <c r="L93" s="101"/>
      <c r="M93" s="102"/>
      <c r="N93" s="101"/>
      <c r="O93" s="101"/>
      <c r="P93" s="102"/>
      <c r="Q93" s="101"/>
      <c r="R93" s="101"/>
      <c r="S93" s="48"/>
      <c r="T93" s="58">
        <f>IF(D101&gt;0,K101,T88)</f>
        <v>0.05</v>
      </c>
      <c r="U93" s="105"/>
      <c r="V93" s="54">
        <f>IF($H$64&gt;1501,1,0)</f>
        <v>0</v>
      </c>
      <c r="W93" s="54">
        <f>IF($H$64&lt;2000,1,0)</f>
        <v>1</v>
      </c>
      <c r="X93" s="54">
        <f t="shared" si="4"/>
        <v>1</v>
      </c>
      <c r="Y93" s="50"/>
      <c r="Z93" s="37"/>
      <c r="AO93" s="448"/>
    </row>
    <row r="94" spans="3:41" ht="13.5" thickBot="1">
      <c r="C94" s="3"/>
      <c r="D94" s="112">
        <f t="shared" si="3"/>
      </c>
      <c r="E94" s="13"/>
      <c r="F94" s="13" t="s">
        <v>272</v>
      </c>
      <c r="G94" s="14"/>
      <c r="H94" s="7">
        <v>9</v>
      </c>
      <c r="I94" s="3"/>
      <c r="J94" s="101"/>
      <c r="K94" s="53">
        <f>IF(X94=2,9%,"")</f>
      </c>
      <c r="L94" s="101"/>
      <c r="M94" s="102"/>
      <c r="N94" s="101"/>
      <c r="O94" s="101"/>
      <c r="P94" s="102"/>
      <c r="Q94" s="101"/>
      <c r="R94" s="101"/>
      <c r="S94" s="104"/>
      <c r="T94" s="104"/>
      <c r="U94" s="105"/>
      <c r="V94" s="54">
        <f>IF($H$64&gt;2001,1,0)</f>
        <v>0</v>
      </c>
      <c r="W94" s="54">
        <f>IF($H$64&lt;2500.99,1,0)</f>
        <v>1</v>
      </c>
      <c r="X94" s="54">
        <f t="shared" si="4"/>
        <v>1</v>
      </c>
      <c r="Y94" s="50"/>
      <c r="Z94" s="37"/>
      <c r="AO94" s="448"/>
    </row>
    <row r="95" spans="3:41" ht="13.5" thickBot="1">
      <c r="C95" s="3"/>
      <c r="D95" s="112">
        <f t="shared" si="3"/>
      </c>
      <c r="E95" s="13"/>
      <c r="F95" s="13" t="s">
        <v>273</v>
      </c>
      <c r="G95" s="14"/>
      <c r="H95" s="7">
        <v>10</v>
      </c>
      <c r="I95" s="3"/>
      <c r="J95" s="101"/>
      <c r="K95" s="53">
        <f>IF(X95=2,10%,"")</f>
      </c>
      <c r="L95" s="101"/>
      <c r="M95" s="102"/>
      <c r="N95" s="101"/>
      <c r="O95" s="101"/>
      <c r="P95" s="102"/>
      <c r="Q95" s="101"/>
      <c r="R95" s="101"/>
      <c r="S95" s="46"/>
      <c r="T95" s="46"/>
      <c r="U95" s="45"/>
      <c r="V95" s="54">
        <f>IF($H$64&gt;2501,1,0)</f>
        <v>0</v>
      </c>
      <c r="W95" s="54">
        <f>IF($H$64&lt;3000.99,1,0)</f>
        <v>1</v>
      </c>
      <c r="X95" s="54">
        <f t="shared" si="4"/>
        <v>1</v>
      </c>
      <c r="Y95" s="3"/>
      <c r="AO95" s="448"/>
    </row>
    <row r="96" spans="3:41" ht="13.5" thickBot="1">
      <c r="C96" s="3"/>
      <c r="D96" s="112">
        <f t="shared" si="3"/>
      </c>
      <c r="E96" s="13"/>
      <c r="F96" s="13" t="s">
        <v>274</v>
      </c>
      <c r="G96" s="14"/>
      <c r="H96" s="7">
        <v>11</v>
      </c>
      <c r="I96" s="3"/>
      <c r="J96" s="101"/>
      <c r="K96" s="53">
        <f>IF(X96=2,11%,"")</f>
      </c>
      <c r="L96" s="101"/>
      <c r="M96" s="102"/>
      <c r="N96" s="101"/>
      <c r="O96" s="101"/>
      <c r="P96" s="102"/>
      <c r="Q96" s="101"/>
      <c r="R96" s="101"/>
      <c r="S96" s="46"/>
      <c r="T96" s="46"/>
      <c r="U96" s="45"/>
      <c r="V96" s="54">
        <f>IF($H$64&gt;3001,1,0)</f>
        <v>0</v>
      </c>
      <c r="W96" s="54">
        <f>IF($H$64&lt;3500.99,1,0)</f>
        <v>1</v>
      </c>
      <c r="X96" s="54">
        <f t="shared" si="4"/>
        <v>1</v>
      </c>
      <c r="Y96" s="3"/>
      <c r="AO96" s="448"/>
    </row>
    <row r="97" spans="3:41" ht="13.5" thickBot="1">
      <c r="C97" s="3"/>
      <c r="D97" s="112">
        <f t="shared" si="3"/>
      </c>
      <c r="E97" s="13"/>
      <c r="F97" s="13" t="s">
        <v>275</v>
      </c>
      <c r="G97" s="14"/>
      <c r="H97" s="7">
        <v>12</v>
      </c>
      <c r="I97" s="3"/>
      <c r="J97" s="101"/>
      <c r="K97" s="53">
        <f>IF(X97=2,12%,"")</f>
      </c>
      <c r="L97" s="101"/>
      <c r="M97" s="102"/>
      <c r="N97" s="101"/>
      <c r="O97" s="101"/>
      <c r="P97" s="102"/>
      <c r="Q97" s="101"/>
      <c r="R97" s="101"/>
      <c r="S97" s="46"/>
      <c r="T97" s="46"/>
      <c r="U97" s="45"/>
      <c r="V97" s="54">
        <f>IF($H$64&gt;3501,1,0)</f>
        <v>0</v>
      </c>
      <c r="W97" s="54">
        <f>IF($H$64&lt;4000.99,1,0)</f>
        <v>1</v>
      </c>
      <c r="X97" s="54">
        <f t="shared" si="4"/>
        <v>1</v>
      </c>
      <c r="Y97" s="3"/>
      <c r="AO97" s="448"/>
    </row>
    <row r="98" spans="3:41" ht="13.5" thickBot="1">
      <c r="C98" s="3"/>
      <c r="D98" s="112">
        <f t="shared" si="3"/>
      </c>
      <c r="E98" s="13"/>
      <c r="F98" s="13" t="s">
        <v>276</v>
      </c>
      <c r="G98" s="14"/>
      <c r="H98" s="7">
        <v>13</v>
      </c>
      <c r="I98" s="3"/>
      <c r="J98" s="101"/>
      <c r="K98" s="53">
        <f>IF(X98=2,13%,"")</f>
      </c>
      <c r="L98" s="101"/>
      <c r="M98" s="102"/>
      <c r="N98" s="101"/>
      <c r="O98" s="101"/>
      <c r="P98" s="102"/>
      <c r="Q98" s="101"/>
      <c r="R98" s="101"/>
      <c r="S98" s="46"/>
      <c r="T98" s="46"/>
      <c r="U98" s="45"/>
      <c r="V98" s="54">
        <f>IF($H$64&gt;4001,1,0)</f>
        <v>0</v>
      </c>
      <c r="W98" s="54">
        <f>IF($H$64&lt;4500,1,0)</f>
        <v>1</v>
      </c>
      <c r="X98" s="54">
        <f t="shared" si="4"/>
        <v>1</v>
      </c>
      <c r="Y98" s="3"/>
      <c r="AO98" s="448"/>
    </row>
    <row r="99" spans="3:41" ht="13.5" thickBot="1">
      <c r="C99" s="3"/>
      <c r="D99" s="112">
        <f>IF(X99=1,"X","")</f>
      </c>
      <c r="E99" s="19"/>
      <c r="F99" s="19" t="s">
        <v>147</v>
      </c>
      <c r="G99" s="20"/>
      <c r="H99" s="7">
        <v>14</v>
      </c>
      <c r="I99" s="3"/>
      <c r="J99" s="101"/>
      <c r="K99" s="53">
        <f>IF(X99=1,14%,"")</f>
      </c>
      <c r="L99" s="101"/>
      <c r="M99" s="102"/>
      <c r="N99" s="101"/>
      <c r="O99" s="101"/>
      <c r="P99" s="102"/>
      <c r="Q99" s="101"/>
      <c r="R99" s="101"/>
      <c r="S99" s="46"/>
      <c r="T99" s="46"/>
      <c r="U99" s="45"/>
      <c r="V99" s="54">
        <f>IF($H$64&gt;4500,1,0)</f>
        <v>0</v>
      </c>
      <c r="W99" s="54"/>
      <c r="X99" s="54">
        <f>V99+W99</f>
        <v>0</v>
      </c>
      <c r="Y99" s="3"/>
      <c r="AO99" s="448"/>
    </row>
    <row r="100" spans="3:41" ht="13.5" thickBot="1">
      <c r="C100" s="3"/>
      <c r="D100" s="3"/>
      <c r="E100" s="3"/>
      <c r="F100" s="3"/>
      <c r="G100" s="3"/>
      <c r="H100" s="3"/>
      <c r="I100" s="3"/>
      <c r="J100" s="3"/>
      <c r="K100" s="76"/>
      <c r="L100" s="3"/>
      <c r="M100" s="10"/>
      <c r="N100" s="3"/>
      <c r="O100" s="3"/>
      <c r="P100" s="10"/>
      <c r="Q100" s="3"/>
      <c r="R100" s="3"/>
      <c r="U100" s="3"/>
      <c r="V100" s="115"/>
      <c r="W100" s="23"/>
      <c r="X100" s="115"/>
      <c r="Y100" s="3"/>
      <c r="Z100" s="3"/>
      <c r="AA100" s="3"/>
      <c r="AO100" s="448"/>
    </row>
    <row r="101" spans="3:41" ht="13.5" thickBot="1">
      <c r="C101" s="3"/>
      <c r="D101" s="294"/>
      <c r="E101" s="544" t="s">
        <v>18</v>
      </c>
      <c r="F101" s="544"/>
      <c r="G101" s="544"/>
      <c r="H101" s="10">
        <v>20</v>
      </c>
      <c r="I101" s="3"/>
      <c r="J101" s="3"/>
      <c r="K101" s="53">
        <f>IF(X101=2,20%,"")</f>
      </c>
      <c r="L101" s="3"/>
      <c r="M101" s="10"/>
      <c r="N101" s="3"/>
      <c r="O101" s="3"/>
      <c r="P101" s="10"/>
      <c r="Q101" s="3"/>
      <c r="R101" s="3"/>
      <c r="V101" s="110"/>
      <c r="W101" s="7"/>
      <c r="X101" s="110">
        <f>IF(D101&gt;0,2,0)</f>
        <v>0</v>
      </c>
      <c r="Y101" s="21"/>
      <c r="AO101" s="448"/>
    </row>
    <row r="102" spans="3:41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0"/>
      <c r="N102" s="3"/>
      <c r="O102" s="3"/>
      <c r="P102" s="10"/>
      <c r="Q102" s="3"/>
      <c r="R102" s="3"/>
      <c r="Y102" s="3"/>
      <c r="AO102" s="448"/>
    </row>
    <row r="103" spans="3:41" ht="12.75">
      <c r="C103" s="3"/>
      <c r="D103" s="3"/>
      <c r="E103" s="67" t="s">
        <v>278</v>
      </c>
      <c r="F103" s="3"/>
      <c r="G103" s="3"/>
      <c r="H103" s="3"/>
      <c r="I103" s="3"/>
      <c r="J103" s="3"/>
      <c r="K103" s="3"/>
      <c r="L103" s="3"/>
      <c r="M103" s="10"/>
      <c r="N103" s="3"/>
      <c r="O103" s="3"/>
      <c r="P103" s="10"/>
      <c r="Q103" s="3"/>
      <c r="R103" s="3"/>
      <c r="AO103" s="448"/>
    </row>
    <row r="104" spans="3:41" ht="12.75">
      <c r="C104" s="3"/>
      <c r="D104" s="3"/>
      <c r="E104" s="67" t="s">
        <v>279</v>
      </c>
      <c r="F104" s="3"/>
      <c r="G104" s="3"/>
      <c r="H104" s="3"/>
      <c r="I104" s="3"/>
      <c r="J104" s="3"/>
      <c r="K104" s="3"/>
      <c r="L104" s="3"/>
      <c r="M104" s="10"/>
      <c r="N104" s="3"/>
      <c r="O104" s="3"/>
      <c r="P104" s="10"/>
      <c r="Q104" s="3"/>
      <c r="R104" s="3"/>
      <c r="AO104" s="448"/>
    </row>
    <row r="105" spans="3:41" ht="12.75">
      <c r="C105" s="3"/>
      <c r="D105" s="3"/>
      <c r="E105" s="67"/>
      <c r="F105" s="3"/>
      <c r="G105" s="3"/>
      <c r="H105" s="3"/>
      <c r="I105" s="3"/>
      <c r="J105" s="3"/>
      <c r="K105" s="3"/>
      <c r="L105" s="3"/>
      <c r="M105" s="10"/>
      <c r="N105" s="3"/>
      <c r="O105" s="3"/>
      <c r="P105" s="10"/>
      <c r="Q105" s="3"/>
      <c r="R105" s="3"/>
      <c r="AO105" s="448"/>
    </row>
    <row r="106" spans="3:41" ht="12.75">
      <c r="C106" s="3"/>
      <c r="D106" s="3"/>
      <c r="E106" s="563"/>
      <c r="F106" s="563"/>
      <c r="G106" s="563"/>
      <c r="H106" s="563"/>
      <c r="I106" s="563"/>
      <c r="J106" s="274"/>
      <c r="K106" s="274"/>
      <c r="L106" s="274"/>
      <c r="M106" s="123"/>
      <c r="N106" s="3"/>
      <c r="O106" s="3"/>
      <c r="P106" s="10"/>
      <c r="Q106" s="3"/>
      <c r="R106" s="3"/>
      <c r="AO106" s="448"/>
    </row>
    <row r="107" spans="3:41" ht="12.75">
      <c r="C107" s="3"/>
      <c r="D107" s="3"/>
      <c r="E107" s="275"/>
      <c r="F107" s="279"/>
      <c r="G107" s="280"/>
      <c r="H107" s="281"/>
      <c r="I107" s="274"/>
      <c r="J107" s="276"/>
      <c r="K107" s="274"/>
      <c r="L107" s="274"/>
      <c r="M107" s="123"/>
      <c r="N107" s="3"/>
      <c r="O107" s="3"/>
      <c r="P107" s="10"/>
      <c r="Q107" s="3"/>
      <c r="R107" s="3"/>
      <c r="T107" s="167"/>
      <c r="AO107" s="448"/>
    </row>
    <row r="108" spans="3:41" ht="12.75">
      <c r="C108" s="3"/>
      <c r="D108" s="3"/>
      <c r="E108" s="274"/>
      <c r="F108" s="274"/>
      <c r="G108" s="277"/>
      <c r="H108" s="278"/>
      <c r="I108" s="274"/>
      <c r="J108" s="274"/>
      <c r="K108" s="274"/>
      <c r="L108" s="274"/>
      <c r="M108" s="123"/>
      <c r="N108" s="3"/>
      <c r="O108" s="3"/>
      <c r="P108" s="10"/>
      <c r="Q108" s="3"/>
      <c r="R108" s="3"/>
      <c r="AO108" s="448"/>
    </row>
    <row r="109" spans="3:41" ht="13.5" thickBot="1">
      <c r="C109" s="3"/>
      <c r="D109" s="3"/>
      <c r="F109" s="3"/>
      <c r="G109" s="3"/>
      <c r="H109" s="3"/>
      <c r="I109" s="3"/>
      <c r="J109" s="3"/>
      <c r="K109" s="3"/>
      <c r="L109" s="3"/>
      <c r="M109" s="10"/>
      <c r="N109" s="3"/>
      <c r="O109" s="3"/>
      <c r="P109" s="10"/>
      <c r="Q109" s="3"/>
      <c r="R109" s="3"/>
      <c r="AO109" s="448"/>
    </row>
    <row r="110" spans="3:41" ht="13.5" thickBot="1">
      <c r="C110" s="3"/>
      <c r="D110" s="294"/>
      <c r="E110" s="500" t="s">
        <v>52</v>
      </c>
      <c r="F110" s="500"/>
      <c r="G110" s="500"/>
      <c r="H110" s="500"/>
      <c r="I110" s="500"/>
      <c r="J110" s="500"/>
      <c r="K110" s="500"/>
      <c r="L110" s="500"/>
      <c r="M110" s="10"/>
      <c r="N110" s="552">
        <v>35</v>
      </c>
      <c r="O110" s="555" t="s">
        <v>229</v>
      </c>
      <c r="P110" s="10"/>
      <c r="Q110" s="3"/>
      <c r="R110" s="3"/>
      <c r="AO110" s="448"/>
    </row>
    <row r="111" spans="3:41" ht="12.75">
      <c r="C111" s="3"/>
      <c r="D111" s="3"/>
      <c r="E111" s="500"/>
      <c r="F111" s="500"/>
      <c r="G111" s="500"/>
      <c r="H111" s="500"/>
      <c r="I111" s="500"/>
      <c r="J111" s="500"/>
      <c r="K111" s="500"/>
      <c r="L111" s="500"/>
      <c r="M111" s="10"/>
      <c r="N111" s="553"/>
      <c r="O111" s="555"/>
      <c r="P111" s="10"/>
      <c r="Q111" s="3"/>
      <c r="R111" s="3"/>
      <c r="AO111" s="448"/>
    </row>
    <row r="112" spans="3:41" ht="12.75">
      <c r="C112" s="3"/>
      <c r="D112" s="3"/>
      <c r="E112" s="500"/>
      <c r="F112" s="500"/>
      <c r="G112" s="500"/>
      <c r="H112" s="500"/>
      <c r="I112" s="500"/>
      <c r="J112" s="500"/>
      <c r="K112" s="500"/>
      <c r="L112" s="500"/>
      <c r="M112" s="10"/>
      <c r="N112" s="553"/>
      <c r="O112" s="555"/>
      <c r="P112" s="10"/>
      <c r="Q112" s="3"/>
      <c r="R112" s="3"/>
      <c r="AO112" s="448"/>
    </row>
    <row r="113" spans="3:41" ht="12.75">
      <c r="C113" s="3"/>
      <c r="D113" s="3"/>
      <c r="E113" s="500"/>
      <c r="F113" s="500"/>
      <c r="G113" s="500"/>
      <c r="H113" s="500"/>
      <c r="I113" s="500"/>
      <c r="J113" s="500"/>
      <c r="K113" s="500"/>
      <c r="L113" s="500"/>
      <c r="M113" s="10"/>
      <c r="N113" s="554"/>
      <c r="O113" s="555"/>
      <c r="P113" s="10"/>
      <c r="Q113" s="3"/>
      <c r="R113" s="98" t="s">
        <v>104</v>
      </c>
      <c r="S113" s="541">
        <f>S115</f>
        <v>0</v>
      </c>
      <c r="T113" s="465"/>
      <c r="AO113" s="448"/>
    </row>
    <row r="114" spans="3:41" ht="12.75">
      <c r="C114" s="3"/>
      <c r="D114" s="3"/>
      <c r="F114" s="3"/>
      <c r="G114" s="3"/>
      <c r="H114" s="3"/>
      <c r="I114" s="3"/>
      <c r="J114" s="3"/>
      <c r="K114" s="3"/>
      <c r="L114" s="3"/>
      <c r="M114" s="10"/>
      <c r="N114" s="130"/>
      <c r="O114" s="130"/>
      <c r="P114" s="10"/>
      <c r="Q114" s="3"/>
      <c r="R114" s="3"/>
      <c r="S114" s="134"/>
      <c r="T114" s="134"/>
      <c r="AO114" s="448"/>
    </row>
    <row r="115" spans="3:41" ht="12.75">
      <c r="C115" s="3"/>
      <c r="D115" s="3"/>
      <c r="F115" s="3"/>
      <c r="G115" s="3"/>
      <c r="H115" s="3"/>
      <c r="I115" s="3"/>
      <c r="J115" s="3"/>
      <c r="K115" s="3"/>
      <c r="L115" s="3"/>
      <c r="M115" s="10"/>
      <c r="N115" s="130"/>
      <c r="Q115" s="3"/>
      <c r="R115" s="3"/>
      <c r="S115" s="135">
        <f>IF(D110&gt;0,H75*0.35,0)</f>
        <v>0</v>
      </c>
      <c r="T115" s="134"/>
      <c r="AO115" s="448"/>
    </row>
    <row r="116" spans="3:41" ht="12.75">
      <c r="C116" s="3"/>
      <c r="D116" s="3"/>
      <c r="F116" s="3"/>
      <c r="G116" s="3"/>
      <c r="H116" s="3"/>
      <c r="I116" s="3"/>
      <c r="J116" s="3"/>
      <c r="K116" s="3"/>
      <c r="L116" s="3"/>
      <c r="M116" s="10"/>
      <c r="N116" s="10"/>
      <c r="O116" s="3"/>
      <c r="P116" s="10"/>
      <c r="Q116" s="3"/>
      <c r="R116" s="3"/>
      <c r="S116" s="134"/>
      <c r="T116" s="134"/>
      <c r="AO116" s="448"/>
    </row>
    <row r="117" spans="3:41" ht="12.75">
      <c r="C117" s="3"/>
      <c r="D117" s="3"/>
      <c r="F117" s="3"/>
      <c r="G117" s="3"/>
      <c r="H117" s="3"/>
      <c r="I117" s="3"/>
      <c r="J117" s="3"/>
      <c r="K117" s="3"/>
      <c r="L117" s="3"/>
      <c r="M117" s="542" t="s">
        <v>103</v>
      </c>
      <c r="N117" s="543"/>
      <c r="O117" s="541">
        <f>S117</f>
        <v>0</v>
      </c>
      <c r="P117" s="465"/>
      <c r="Q117" s="3"/>
      <c r="R117" s="3"/>
      <c r="S117" s="135">
        <f>IF(D110&gt;0,H75-S115,H75)</f>
        <v>0</v>
      </c>
      <c r="T117" s="134"/>
      <c r="AO117" s="448"/>
    </row>
    <row r="118" spans="3:41" ht="12.75">
      <c r="C118" s="3"/>
      <c r="D118" s="3"/>
      <c r="F118" s="3"/>
      <c r="G118" s="3"/>
      <c r="H118" s="3"/>
      <c r="I118" s="3"/>
      <c r="J118" s="3"/>
      <c r="K118" s="3"/>
      <c r="L118" s="3"/>
      <c r="M118" s="10"/>
      <c r="N118" s="10"/>
      <c r="O118" s="3"/>
      <c r="P118" s="10"/>
      <c r="Q118" s="3"/>
      <c r="R118" s="3"/>
      <c r="S118" s="134"/>
      <c r="T118" s="134"/>
      <c r="AO118" s="448"/>
    </row>
    <row r="119" spans="2:41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0"/>
      <c r="N119" s="3"/>
      <c r="O119" s="3"/>
      <c r="P119" s="10"/>
      <c r="Q119" s="3"/>
      <c r="R119" s="3"/>
      <c r="S119" s="134"/>
      <c r="T119" s="134"/>
      <c r="AO119" s="448"/>
    </row>
    <row r="120" spans="19:20" ht="12.75">
      <c r="S120" s="134"/>
      <c r="T120" s="134"/>
    </row>
  </sheetData>
  <sheetProtection password="8090" sheet="1" objects="1" scenarios="1"/>
  <mergeCells count="62">
    <mergeCell ref="E110:L113"/>
    <mergeCell ref="E106:I106"/>
    <mergeCell ref="H12:H14"/>
    <mergeCell ref="E12:F14"/>
    <mergeCell ref="G12:G14"/>
    <mergeCell ref="E30:F30"/>
    <mergeCell ref="E19:F19"/>
    <mergeCell ref="E20:F20"/>
    <mergeCell ref="E15:F15"/>
    <mergeCell ref="E16:F16"/>
    <mergeCell ref="E17:F17"/>
    <mergeCell ref="E18:F18"/>
    <mergeCell ref="I16:J16"/>
    <mergeCell ref="M17:N17"/>
    <mergeCell ref="I17:J17"/>
    <mergeCell ref="I18:J18"/>
    <mergeCell ref="M18:N18"/>
    <mergeCell ref="M16:N16"/>
    <mergeCell ref="K18:L18"/>
    <mergeCell ref="K16:L16"/>
    <mergeCell ref="I12:J14"/>
    <mergeCell ref="K12:L14"/>
    <mergeCell ref="I15:J15"/>
    <mergeCell ref="M12:N14"/>
    <mergeCell ref="K15:L15"/>
    <mergeCell ref="K17:L17"/>
    <mergeCell ref="M15:N15"/>
    <mergeCell ref="H32:J32"/>
    <mergeCell ref="H33:J33"/>
    <mergeCell ref="K28:L30"/>
    <mergeCell ref="M19:N19"/>
    <mergeCell ref="M20:N20"/>
    <mergeCell ref="AB31:AC31"/>
    <mergeCell ref="AB34:AC34"/>
    <mergeCell ref="M22:N22"/>
    <mergeCell ref="AB32:AC32"/>
    <mergeCell ref="M31:N31"/>
    <mergeCell ref="M32:N32"/>
    <mergeCell ref="M33:N33"/>
    <mergeCell ref="M34:N34"/>
    <mergeCell ref="AB33:AC33"/>
    <mergeCell ref="M28:N30"/>
    <mergeCell ref="F4:N5"/>
    <mergeCell ref="N110:N113"/>
    <mergeCell ref="O110:O113"/>
    <mergeCell ref="O117:P117"/>
    <mergeCell ref="J41:L41"/>
    <mergeCell ref="H34:J34"/>
    <mergeCell ref="K34:L34"/>
    <mergeCell ref="K32:L32"/>
    <mergeCell ref="K33:L33"/>
    <mergeCell ref="I20:J20"/>
    <mergeCell ref="S113:T113"/>
    <mergeCell ref="M117:N117"/>
    <mergeCell ref="E101:G101"/>
    <mergeCell ref="K19:L19"/>
    <mergeCell ref="K20:L20"/>
    <mergeCell ref="I19:J19"/>
    <mergeCell ref="T64:U64"/>
    <mergeCell ref="H28:J30"/>
    <mergeCell ref="K31:L31"/>
    <mergeCell ref="H31:J31"/>
  </mergeCells>
  <printOptions horizontalCentered="1"/>
  <pageMargins left="0.2362204724409449" right="0.2755905511811024" top="0.4330708661417323" bottom="0.35433070866141736" header="0.31496062992125984" footer="0.1968503937007874"/>
  <pageSetup horizontalDpi="600" verticalDpi="600" orientation="portrait" paperSize="9" scale="80" r:id="rId1"/>
  <headerFooter alignWithMargins="0">
    <oddFooter>&amp;Cfoglio "QCC_Scheda A"&amp;R&amp;11pag.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FF78"/>
  <sheetViews>
    <sheetView workbookViewId="0" topLeftCell="B1">
      <selection activeCell="F31" sqref="F31"/>
    </sheetView>
  </sheetViews>
  <sheetFormatPr defaultColWidth="9.140625" defaultRowHeight="12.75"/>
  <cols>
    <col min="1" max="1" width="2.7109375" style="0" hidden="1" customWidth="1"/>
    <col min="3" max="3" width="1.1484375" style="0" customWidth="1"/>
    <col min="4" max="4" width="3.140625" style="0" customWidth="1"/>
    <col min="5" max="5" width="11.7109375" style="0" customWidth="1"/>
    <col min="7" max="7" width="12.140625" style="0" customWidth="1"/>
    <col min="8" max="8" width="4.7109375" style="0" customWidth="1"/>
    <col min="9" max="9" width="5.00390625" style="0" customWidth="1"/>
    <col min="10" max="17" width="4.7109375" style="0" customWidth="1"/>
    <col min="18" max="18" width="10.7109375" style="0" customWidth="1"/>
    <col min="19" max="19" width="4.28125" style="0" customWidth="1"/>
    <col min="20" max="20" width="4.8515625" style="0" customWidth="1"/>
    <col min="21" max="21" width="5.421875" style="0" customWidth="1"/>
    <col min="22" max="22" width="7.140625" style="0" customWidth="1"/>
    <col min="23" max="23" width="1.28515625" style="0" customWidth="1"/>
    <col min="24" max="24" width="4.7109375" style="0" hidden="1" customWidth="1"/>
    <col min="25" max="25" width="24.28125" style="0" hidden="1" customWidth="1"/>
    <col min="26" max="26" width="6.7109375" style="0" hidden="1" customWidth="1"/>
    <col min="27" max="27" width="6.28125" style="0" hidden="1" customWidth="1"/>
    <col min="28" max="28" width="12.421875" style="0" hidden="1" customWidth="1"/>
    <col min="29" max="29" width="5.7109375" style="0" hidden="1" customWidth="1"/>
    <col min="30" max="30" width="8.00390625" style="0" hidden="1" customWidth="1"/>
    <col min="31" max="31" width="6.8515625" style="0" hidden="1" customWidth="1"/>
    <col min="32" max="32" width="6.28125" style="0" hidden="1" customWidth="1"/>
    <col min="33" max="34" width="6.140625" style="0" hidden="1" customWidth="1"/>
    <col min="35" max="35" width="6.00390625" style="0" hidden="1" customWidth="1"/>
    <col min="36" max="37" width="4.7109375" style="0" hidden="1" customWidth="1"/>
    <col min="38" max="38" width="7.00390625" style="0" hidden="1" customWidth="1"/>
    <col min="39" max="100" width="4.7109375" style="0" hidden="1" customWidth="1"/>
    <col min="101" max="161" width="0" style="0" hidden="1" customWidth="1"/>
    <col min="162" max="162" width="1.57421875" style="0" customWidth="1"/>
  </cols>
  <sheetData>
    <row r="1" ht="12.75">
      <c r="W1" s="3"/>
    </row>
    <row r="2" ht="12.75">
      <c r="W2" s="3"/>
    </row>
    <row r="3" spans="3:162" ht="17.25">
      <c r="C3" s="3"/>
      <c r="D3" s="3"/>
      <c r="E3" s="432" t="s">
        <v>503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Y3" s="131" t="s">
        <v>185</v>
      </c>
      <c r="FF3" s="448"/>
    </row>
    <row r="4" spans="3:162" ht="12.75">
      <c r="C4" s="3"/>
      <c r="D4" s="3"/>
      <c r="E4" s="3"/>
      <c r="F4" s="581" t="s">
        <v>3</v>
      </c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3"/>
      <c r="U4" s="3"/>
      <c r="V4" s="3"/>
      <c r="W4" s="3"/>
      <c r="FF4" s="448"/>
    </row>
    <row r="5" spans="3:162" ht="12.75">
      <c r="C5" s="3"/>
      <c r="D5" s="3"/>
      <c r="E5" s="96"/>
      <c r="F5" s="5" t="s">
        <v>507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FF5" s="448"/>
    </row>
    <row r="6" spans="3:162" ht="12.75">
      <c r="C6" s="3"/>
      <c r="D6" s="3"/>
      <c r="E6" s="96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FF6" s="448"/>
    </row>
    <row r="7" spans="3:162" ht="12.75">
      <c r="C7" s="3"/>
      <c r="D7" s="3"/>
      <c r="E7" s="3" t="s">
        <v>280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FF7" s="448"/>
    </row>
    <row r="8" spans="3:162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FF8" s="448"/>
    </row>
    <row r="9" spans="3:162" ht="12.75">
      <c r="C9" s="3"/>
      <c r="D9" s="3"/>
      <c r="E9" s="3" t="s">
        <v>281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FF9" s="448"/>
    </row>
    <row r="10" spans="3:162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FF10" s="448"/>
    </row>
    <row r="11" spans="3:162" ht="12.75">
      <c r="C11" s="3"/>
      <c r="D11" s="3"/>
      <c r="E11" s="589" t="s">
        <v>485</v>
      </c>
      <c r="F11" s="590"/>
      <c r="G11" s="591"/>
      <c r="H11" s="15"/>
      <c r="I11" s="16"/>
      <c r="J11" s="16"/>
      <c r="K11" s="33" t="s">
        <v>330</v>
      </c>
      <c r="L11" s="16"/>
      <c r="M11" s="16"/>
      <c r="N11" s="16"/>
      <c r="O11" s="16"/>
      <c r="P11" s="16"/>
      <c r="Q11" s="16"/>
      <c r="R11" s="16"/>
      <c r="S11" s="17"/>
      <c r="T11" s="3"/>
      <c r="U11" s="3"/>
      <c r="V11" s="3"/>
      <c r="W11" s="3"/>
      <c r="FF11" s="448"/>
    </row>
    <row r="12" spans="3:162" ht="12.75">
      <c r="C12" s="3"/>
      <c r="D12" s="3"/>
      <c r="E12" s="592" t="s">
        <v>486</v>
      </c>
      <c r="F12" s="593"/>
      <c r="G12" s="594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3"/>
      <c r="U12" s="3"/>
      <c r="V12" s="3"/>
      <c r="W12" s="3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FF12" s="448"/>
    </row>
    <row r="13" spans="3:162" ht="12.75">
      <c r="C13" s="3"/>
      <c r="D13" s="3"/>
      <c r="E13" s="12"/>
      <c r="F13" s="14"/>
      <c r="G13" s="9" t="s">
        <v>229</v>
      </c>
      <c r="H13" s="7">
        <v>10</v>
      </c>
      <c r="I13" s="7">
        <v>20</v>
      </c>
      <c r="J13" s="7">
        <v>30</v>
      </c>
      <c r="K13" s="7">
        <v>40</v>
      </c>
      <c r="L13" s="7">
        <v>50</v>
      </c>
      <c r="M13" s="7">
        <v>60</v>
      </c>
      <c r="N13" s="7">
        <v>70</v>
      </c>
      <c r="O13" s="7">
        <v>80</v>
      </c>
      <c r="P13" s="7">
        <v>90</v>
      </c>
      <c r="Q13" s="7">
        <v>100</v>
      </c>
      <c r="R13" s="12" t="s">
        <v>290</v>
      </c>
      <c r="S13" s="14"/>
      <c r="T13" s="3"/>
      <c r="U13" s="3"/>
      <c r="V13" s="3"/>
      <c r="W13" s="3"/>
      <c r="Y13" s="37"/>
      <c r="Z13" s="54">
        <v>10</v>
      </c>
      <c r="AA13" s="54">
        <v>20</v>
      </c>
      <c r="AB13" s="54">
        <v>30</v>
      </c>
      <c r="AC13" s="54">
        <v>40</v>
      </c>
      <c r="AD13" s="54">
        <v>50</v>
      </c>
      <c r="AE13" s="54">
        <v>60</v>
      </c>
      <c r="AF13" s="54">
        <v>70</v>
      </c>
      <c r="AG13" s="54">
        <v>80</v>
      </c>
      <c r="AH13" s="54">
        <v>90</v>
      </c>
      <c r="AI13" s="54">
        <v>100</v>
      </c>
      <c r="AJ13" s="37"/>
      <c r="AK13" s="37"/>
      <c r="AL13" s="37"/>
      <c r="AM13" s="37"/>
      <c r="AN13" s="37"/>
      <c r="FF13" s="448"/>
    </row>
    <row r="14" spans="3:162" ht="12.75">
      <c r="C14" s="3"/>
      <c r="D14" s="3"/>
      <c r="E14" s="12" t="s">
        <v>284</v>
      </c>
      <c r="F14" s="14"/>
      <c r="G14" s="53">
        <v>0.05</v>
      </c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137">
        <f>AL14</f>
        <v>0</v>
      </c>
      <c r="S14" s="14" t="s">
        <v>229</v>
      </c>
      <c r="T14" s="3"/>
      <c r="U14" s="3"/>
      <c r="V14" s="3"/>
      <c r="W14" s="3"/>
      <c r="Y14" s="37"/>
      <c r="Z14" s="113">
        <f>IF($H$14&gt;0,H$13/100*0.05,"")</f>
      </c>
      <c r="AA14" s="113">
        <f>IF($I$14&gt;0,I$13/100*0.05,"")</f>
      </c>
      <c r="AB14" s="113">
        <f>IF($J$14&gt;0,J$13/100*0.05,"")</f>
      </c>
      <c r="AC14" s="113">
        <f>IF($K$14&gt;0,K$13/100*0.05,"")</f>
      </c>
      <c r="AD14" s="113">
        <f>IF($L$14&gt;0,L$13/100*0.05,"")</f>
      </c>
      <c r="AE14" s="113">
        <f>IF($M$14&gt;0,M$13/100*0.05,"")</f>
      </c>
      <c r="AF14" s="113">
        <f>IF($N$14&gt;0,N$13/100*0.05,"")</f>
      </c>
      <c r="AG14" s="113">
        <f>IF($O$14&gt;0,O$13/100*0.05,"")</f>
      </c>
      <c r="AH14" s="113">
        <f>IF($P$14&gt;0,P$13/100*0.05,"")</f>
      </c>
      <c r="AI14" s="113">
        <f>IF($Q$14&gt;0,Q$13/100*0.05,"")</f>
      </c>
      <c r="AJ14" s="37"/>
      <c r="AK14" s="48">
        <f>G14</f>
        <v>0.05</v>
      </c>
      <c r="AL14" s="139">
        <f>SUM(Z14:AI14)</f>
        <v>0</v>
      </c>
      <c r="AM14" s="37">
        <f>IF(V14&gt;0,V13,"")</f>
      </c>
      <c r="AN14" s="37"/>
      <c r="FF14" s="448"/>
    </row>
    <row r="15" spans="3:162" ht="12.75">
      <c r="C15" s="3"/>
      <c r="D15" s="3"/>
      <c r="E15" s="15" t="s">
        <v>282</v>
      </c>
      <c r="F15" s="17"/>
      <c r="G15" s="595">
        <v>0.2</v>
      </c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98">
        <f>AL16</f>
        <v>0</v>
      </c>
      <c r="S15" s="582" t="s">
        <v>229</v>
      </c>
      <c r="T15" s="3"/>
      <c r="U15" s="3"/>
      <c r="V15" s="3"/>
      <c r="W15" s="3"/>
      <c r="Y15" s="37"/>
      <c r="Z15" s="586">
        <f>IF(H$15&gt;0,H$13/100*0.2,"")</f>
      </c>
      <c r="AA15" s="586">
        <f aca="true" t="shared" si="0" ref="AA15:AI15">IF(I$15&gt;0,I$13/100*0.2,"")</f>
      </c>
      <c r="AB15" s="586">
        <f t="shared" si="0"/>
      </c>
      <c r="AC15" s="586">
        <f t="shared" si="0"/>
      </c>
      <c r="AD15" s="586">
        <f t="shared" si="0"/>
      </c>
      <c r="AE15" s="586">
        <f t="shared" si="0"/>
      </c>
      <c r="AF15" s="586">
        <f t="shared" si="0"/>
      </c>
      <c r="AG15" s="586">
        <f t="shared" si="0"/>
      </c>
      <c r="AH15" s="586">
        <f t="shared" si="0"/>
      </c>
      <c r="AI15" s="586">
        <f t="shared" si="0"/>
      </c>
      <c r="AJ15" s="37"/>
      <c r="AK15" s="48"/>
      <c r="AL15" s="139"/>
      <c r="AM15" s="37"/>
      <c r="AN15" s="37"/>
      <c r="FF15" s="448"/>
    </row>
    <row r="16" spans="3:162" ht="12.75">
      <c r="C16" s="3"/>
      <c r="D16" s="3"/>
      <c r="E16" s="21" t="s">
        <v>283</v>
      </c>
      <c r="F16" s="22"/>
      <c r="G16" s="596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99"/>
      <c r="S16" s="583"/>
      <c r="T16" s="3"/>
      <c r="U16" s="3"/>
      <c r="V16" s="3"/>
      <c r="W16" s="3"/>
      <c r="Y16" s="3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37"/>
      <c r="AK16" s="48">
        <f>G15</f>
        <v>0.2</v>
      </c>
      <c r="AL16" s="139">
        <f>SUM(Z15:AI15)</f>
        <v>0</v>
      </c>
      <c r="AM16" s="37"/>
      <c r="AN16" s="37"/>
      <c r="FF16" s="448"/>
    </row>
    <row r="17" spans="3:162" ht="12.75">
      <c r="C17" s="3"/>
      <c r="D17" s="3"/>
      <c r="E17" s="18" t="s">
        <v>94</v>
      </c>
      <c r="F17" s="20"/>
      <c r="G17" s="597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600"/>
      <c r="S17" s="584"/>
      <c r="T17" s="3"/>
      <c r="U17" s="3"/>
      <c r="V17" s="3"/>
      <c r="W17" s="3"/>
      <c r="Y17" s="50"/>
      <c r="Z17" s="588"/>
      <c r="AA17" s="588"/>
      <c r="AB17" s="588"/>
      <c r="AC17" s="588"/>
      <c r="AD17" s="588"/>
      <c r="AE17" s="588"/>
      <c r="AF17" s="588"/>
      <c r="AG17" s="588"/>
      <c r="AH17" s="588"/>
      <c r="AI17" s="588"/>
      <c r="AJ17" s="50"/>
      <c r="AK17" s="49"/>
      <c r="AL17" s="140"/>
      <c r="AM17" s="37"/>
      <c r="AN17" s="37"/>
      <c r="FF17" s="448"/>
    </row>
    <row r="18" spans="3:162" ht="12.75">
      <c r="C18" s="3"/>
      <c r="D18" s="3"/>
      <c r="E18" s="12" t="s">
        <v>285</v>
      </c>
      <c r="F18" s="13"/>
      <c r="G18" s="53">
        <v>0.1</v>
      </c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138">
        <f>AL18</f>
        <v>0</v>
      </c>
      <c r="S18" s="14" t="s">
        <v>229</v>
      </c>
      <c r="T18" s="3"/>
      <c r="U18" s="3"/>
      <c r="V18" s="3"/>
      <c r="W18" s="3"/>
      <c r="Y18" s="37"/>
      <c r="Z18" s="114">
        <f>IF(H$18&gt;0,H$13/100*0.1,"")</f>
      </c>
      <c r="AA18" s="114">
        <f aca="true" t="shared" si="1" ref="AA18:AI18">IF(I$18&gt;0,I$13/100*0.1,"")</f>
      </c>
      <c r="AB18" s="114">
        <f t="shared" si="1"/>
      </c>
      <c r="AC18" s="114">
        <f t="shared" si="1"/>
      </c>
      <c r="AD18" s="114">
        <f t="shared" si="1"/>
      </c>
      <c r="AE18" s="114">
        <f t="shared" si="1"/>
      </c>
      <c r="AF18" s="114">
        <f t="shared" si="1"/>
      </c>
      <c r="AG18" s="114">
        <f t="shared" si="1"/>
      </c>
      <c r="AH18" s="114">
        <f t="shared" si="1"/>
      </c>
      <c r="AI18" s="114">
        <f t="shared" si="1"/>
      </c>
      <c r="AJ18" s="37"/>
      <c r="AK18" s="48">
        <f>G18</f>
        <v>0.1</v>
      </c>
      <c r="AL18" s="139">
        <f>SUM(Z18:AI18)</f>
        <v>0</v>
      </c>
      <c r="AM18" s="37"/>
      <c r="AN18" s="37"/>
      <c r="FF18" s="448"/>
    </row>
    <row r="19" spans="3:162" ht="12.75">
      <c r="C19" s="3"/>
      <c r="D19" s="3"/>
      <c r="E19" s="12" t="s">
        <v>286</v>
      </c>
      <c r="F19" s="14"/>
      <c r="G19" s="53">
        <v>0.05</v>
      </c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138">
        <f>AL19</f>
        <v>0</v>
      </c>
      <c r="S19" s="14" t="s">
        <v>229</v>
      </c>
      <c r="T19" s="3"/>
      <c r="U19" s="3"/>
      <c r="V19" s="3"/>
      <c r="W19" s="3"/>
      <c r="Y19" s="37"/>
      <c r="Z19" s="54">
        <f>IF(H$19&gt;0,H$13/100*0.05,"")</f>
      </c>
      <c r="AA19" s="54">
        <f aca="true" t="shared" si="2" ref="AA19:AI19">IF(I$19&gt;0,I$13/100*0.05,"")</f>
      </c>
      <c r="AB19" s="54">
        <f t="shared" si="2"/>
      </c>
      <c r="AC19" s="54">
        <f t="shared" si="2"/>
      </c>
      <c r="AD19" s="54">
        <f t="shared" si="2"/>
      </c>
      <c r="AE19" s="54">
        <f t="shared" si="2"/>
      </c>
      <c r="AF19" s="54">
        <f t="shared" si="2"/>
      </c>
      <c r="AG19" s="54">
        <f t="shared" si="2"/>
      </c>
      <c r="AH19" s="54">
        <f t="shared" si="2"/>
      </c>
      <c r="AI19" s="54">
        <f t="shared" si="2"/>
      </c>
      <c r="AJ19" s="37"/>
      <c r="AK19" s="48">
        <f>G19</f>
        <v>0.05</v>
      </c>
      <c r="AL19" s="139">
        <f>SUM(Z19:AI19)</f>
        <v>0</v>
      </c>
      <c r="AM19" s="37"/>
      <c r="AN19" s="37"/>
      <c r="FF19" s="448"/>
    </row>
    <row r="20" spans="3:162" ht="12.75">
      <c r="C20" s="3"/>
      <c r="D20" s="3"/>
      <c r="E20" s="12" t="s">
        <v>287</v>
      </c>
      <c r="F20" s="14"/>
      <c r="G20" s="53">
        <v>0.1</v>
      </c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138">
        <f>AL20</f>
        <v>0</v>
      </c>
      <c r="S20" s="14" t="s">
        <v>229</v>
      </c>
      <c r="T20" s="3"/>
      <c r="U20" s="3"/>
      <c r="V20" s="3"/>
      <c r="W20" s="3"/>
      <c r="Y20" s="37"/>
      <c r="Z20" s="54">
        <f>IF(H$20&gt;0,H$13/100*0.1,"")</f>
      </c>
      <c r="AA20" s="54">
        <f aca="true" t="shared" si="3" ref="AA20:AI20">IF(I$20&gt;0,I$13/100*0.1,"")</f>
      </c>
      <c r="AB20" s="54">
        <f t="shared" si="3"/>
      </c>
      <c r="AC20" s="54">
        <f t="shared" si="3"/>
      </c>
      <c r="AD20" s="54">
        <f t="shared" si="3"/>
      </c>
      <c r="AE20" s="54">
        <f t="shared" si="3"/>
      </c>
      <c r="AF20" s="54">
        <f t="shared" si="3"/>
      </c>
      <c r="AG20" s="54">
        <f t="shared" si="3"/>
      </c>
      <c r="AH20" s="54">
        <f t="shared" si="3"/>
      </c>
      <c r="AI20" s="54">
        <f t="shared" si="3"/>
      </c>
      <c r="AJ20" s="37"/>
      <c r="AK20" s="48">
        <f>G20</f>
        <v>0.1</v>
      </c>
      <c r="AL20" s="139">
        <f>SUM(Z20:AI20)</f>
        <v>0</v>
      </c>
      <c r="AM20" s="37"/>
      <c r="AN20" s="37"/>
      <c r="FF20" s="448"/>
    </row>
    <row r="21" spans="3:162" ht="12.75">
      <c r="C21" s="3"/>
      <c r="D21" s="3"/>
      <c r="E21" s="12" t="s">
        <v>288</v>
      </c>
      <c r="F21" s="13"/>
      <c r="G21" s="13"/>
      <c r="H21" s="13"/>
      <c r="I21" s="13"/>
      <c r="J21" s="13"/>
      <c r="K21" s="13"/>
      <c r="L21" s="13"/>
      <c r="M21" s="13"/>
      <c r="N21" s="13"/>
      <c r="O21" s="13" t="s">
        <v>293</v>
      </c>
      <c r="P21" s="13"/>
      <c r="Q21" s="14"/>
      <c r="R21" s="137">
        <f>SUM(R14:R20)</f>
        <v>0</v>
      </c>
      <c r="S21" s="14" t="s">
        <v>229</v>
      </c>
      <c r="T21" s="3"/>
      <c r="U21" s="3"/>
      <c r="V21" s="3"/>
      <c r="W21" s="3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FF21" s="448"/>
    </row>
    <row r="22" spans="3:162" ht="12.75">
      <c r="C22" s="3"/>
      <c r="D22" s="3"/>
      <c r="E22" s="12" t="s">
        <v>289</v>
      </c>
      <c r="F22" s="13"/>
      <c r="G22" s="13"/>
      <c r="H22" s="13"/>
      <c r="I22" s="13"/>
      <c r="J22" s="13"/>
      <c r="K22" s="13"/>
      <c r="L22" s="13"/>
      <c r="M22" s="13"/>
      <c r="N22" s="13"/>
      <c r="O22" s="13" t="s">
        <v>294</v>
      </c>
      <c r="P22" s="13"/>
      <c r="Q22" s="14"/>
      <c r="R22" s="137">
        <f>R21</f>
        <v>0</v>
      </c>
      <c r="S22" s="14" t="s">
        <v>229</v>
      </c>
      <c r="T22" s="3"/>
      <c r="U22" s="3"/>
      <c r="V22" s="3"/>
      <c r="W22" s="3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FF22" s="448"/>
    </row>
    <row r="23" spans="3:162" ht="12.75">
      <c r="C23" s="3"/>
      <c r="D23" s="3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 t="s">
        <v>295</v>
      </c>
      <c r="P23" s="13"/>
      <c r="Q23" s="14"/>
      <c r="R23" s="137">
        <f>SUM(R21:R22)</f>
        <v>0</v>
      </c>
      <c r="S23" s="14" t="s">
        <v>229</v>
      </c>
      <c r="T23" s="3"/>
      <c r="U23" s="3"/>
      <c r="V23" s="3"/>
      <c r="W23" s="3"/>
      <c r="FF23" s="448"/>
    </row>
    <row r="24" spans="3:162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FF24" s="448"/>
    </row>
    <row r="25" spans="3:162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FF25" s="448"/>
    </row>
    <row r="26" spans="3:162" ht="12.75">
      <c r="C26" s="3"/>
      <c r="D26" s="3"/>
      <c r="E26" s="3" t="s">
        <v>326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FF26" s="448"/>
    </row>
    <row r="27" spans="3:162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FF27" s="448"/>
    </row>
    <row r="28" spans="3:162" ht="12.75">
      <c r="C28" s="3"/>
      <c r="D28" s="3"/>
      <c r="E28" s="3"/>
      <c r="F28" s="3"/>
      <c r="G28" s="96" t="s">
        <v>261</v>
      </c>
      <c r="H28" s="569">
        <f>'Valore OMI_Usi'!S25</f>
        <v>0</v>
      </c>
      <c r="I28" s="570"/>
      <c r="J28" s="3" t="s">
        <v>259</v>
      </c>
      <c r="K28" s="9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FF28" s="448"/>
    </row>
    <row r="29" spans="3:162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FF29" s="448"/>
    </row>
    <row r="30" spans="3:162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FF30" s="448"/>
    </row>
    <row r="31" spans="3:162" ht="12.75">
      <c r="C31" s="3"/>
      <c r="D31" s="3"/>
      <c r="E31" s="98" t="s">
        <v>153</v>
      </c>
      <c r="F31" s="415"/>
      <c r="G31" s="3" t="s">
        <v>232</v>
      </c>
      <c r="H31" s="3"/>
      <c r="I31" s="98" t="s">
        <v>154</v>
      </c>
      <c r="J31" s="571"/>
      <c r="K31" s="571"/>
      <c r="L31" s="3" t="s">
        <v>232</v>
      </c>
      <c r="M31" s="3"/>
      <c r="N31" s="98" t="s">
        <v>155</v>
      </c>
      <c r="O31" s="572">
        <f>F31+(J31*0.6)</f>
        <v>0</v>
      </c>
      <c r="P31" s="573"/>
      <c r="Q31" s="3" t="s">
        <v>232</v>
      </c>
      <c r="R31" s="3"/>
      <c r="S31" s="3"/>
      <c r="T31" s="3"/>
      <c r="U31" s="3"/>
      <c r="V31" s="3"/>
      <c r="W31" s="3"/>
      <c r="X31" s="3"/>
      <c r="FF31" s="448"/>
    </row>
    <row r="32" spans="3:16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FF32" s="448"/>
    </row>
    <row r="33" spans="3:16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FF33" s="448"/>
    </row>
    <row r="34" spans="3:162" ht="12.75">
      <c r="C34" s="3"/>
      <c r="D34" s="3"/>
      <c r="E34" s="5" t="s">
        <v>296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48" t="s">
        <v>92</v>
      </c>
      <c r="FF34" s="448"/>
    </row>
    <row r="35" spans="3:162" ht="12.75">
      <c r="C35" s="3"/>
      <c r="D35" s="3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54">
        <f>IF(H28*AA53&gt;25,H28*AA53,0)</f>
        <v>0</v>
      </c>
      <c r="FF35" s="448"/>
    </row>
    <row r="36" spans="3:162" ht="12.75">
      <c r="C36" s="3"/>
      <c r="D36" s="3"/>
      <c r="E36" s="3"/>
      <c r="F36" s="98" t="s">
        <v>152</v>
      </c>
      <c r="G36" s="127">
        <f>Y37</f>
        <v>25</v>
      </c>
      <c r="H36" s="602">
        <f>O31</f>
        <v>0</v>
      </c>
      <c r="I36" s="603"/>
      <c r="J36" s="604">
        <f>R23</f>
        <v>0</v>
      </c>
      <c r="K36" s="604"/>
      <c r="L36" s="605">
        <f>G36*H36*J36</f>
        <v>0</v>
      </c>
      <c r="M36" s="606"/>
      <c r="N36" s="607"/>
      <c r="O36" s="67"/>
      <c r="P36" s="3"/>
      <c r="Q36" s="3"/>
      <c r="R36" s="3"/>
      <c r="S36" s="3"/>
      <c r="T36" s="3"/>
      <c r="U36" s="3"/>
      <c r="V36" s="3"/>
      <c r="W36" s="3"/>
      <c r="Y36" s="54">
        <f>IF(H28*AA53&lt;25,25,0)</f>
        <v>25</v>
      </c>
      <c r="Z36" s="380"/>
      <c r="AA36" s="381"/>
      <c r="AB36" s="110">
        <f>L36</f>
        <v>0</v>
      </c>
      <c r="AC36" s="585"/>
      <c r="AD36" s="585"/>
      <c r="AE36" s="585"/>
      <c r="FF36" s="448"/>
    </row>
    <row r="37" spans="3:162" ht="12.75">
      <c r="C37" s="3"/>
      <c r="D37" s="3"/>
      <c r="E37" s="3"/>
      <c r="F37" s="99" t="s">
        <v>152</v>
      </c>
      <c r="G37" s="90" t="s">
        <v>190</v>
      </c>
      <c r="H37" s="473" t="s">
        <v>189</v>
      </c>
      <c r="I37" s="473"/>
      <c r="J37" s="473" t="s">
        <v>188</v>
      </c>
      <c r="K37" s="473"/>
      <c r="L37" s="3"/>
      <c r="M37" s="90" t="s">
        <v>36</v>
      </c>
      <c r="N37" s="3"/>
      <c r="O37" s="3"/>
      <c r="P37" s="3"/>
      <c r="Q37" s="3"/>
      <c r="R37" s="3"/>
      <c r="S37" s="3"/>
      <c r="T37" s="3"/>
      <c r="U37" s="3"/>
      <c r="V37" s="3"/>
      <c r="W37" s="3"/>
      <c r="Y37" s="54">
        <f>SUM(Y35:Y36)</f>
        <v>25</v>
      </c>
      <c r="FF37" s="448"/>
    </row>
    <row r="38" spans="3:16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FF38" s="448"/>
    </row>
    <row r="39" spans="3:162" ht="12.75">
      <c r="C39" s="3"/>
      <c r="D39" s="3"/>
      <c r="E39" s="67" t="s">
        <v>263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3"/>
      <c r="U39" s="3"/>
      <c r="V39" s="3"/>
      <c r="W39" s="3"/>
      <c r="FF39" s="448"/>
    </row>
    <row r="40" spans="3:162" ht="12.75">
      <c r="C40" s="3"/>
      <c r="D40" s="3"/>
      <c r="E40" s="67"/>
      <c r="F40" s="69" t="s">
        <v>186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3"/>
      <c r="U40" s="3"/>
      <c r="V40" s="3"/>
      <c r="W40" s="3"/>
      <c r="FF40" s="448"/>
    </row>
    <row r="41" spans="3:162" ht="12.75">
      <c r="C41" s="3"/>
      <c r="D41" s="3"/>
      <c r="E41" s="67"/>
      <c r="F41" s="69" t="s">
        <v>89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3"/>
      <c r="U41" s="3"/>
      <c r="V41" s="3"/>
      <c r="W41" s="3"/>
      <c r="FF41" s="448"/>
    </row>
    <row r="42" spans="3:162" ht="12.75">
      <c r="C42" s="3"/>
      <c r="D42" s="3"/>
      <c r="E42" s="67"/>
      <c r="F42" s="69" t="s">
        <v>183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3"/>
      <c r="U42" s="3"/>
      <c r="V42" s="3"/>
      <c r="W42" s="3"/>
      <c r="FF42" s="448"/>
    </row>
    <row r="43" spans="3:162" ht="12.75">
      <c r="C43" s="3"/>
      <c r="D43" s="3"/>
      <c r="E43" s="67"/>
      <c r="F43" s="69" t="s">
        <v>187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3"/>
      <c r="U43" s="3"/>
      <c r="V43" s="3"/>
      <c r="W43" s="3"/>
      <c r="FF43" s="448"/>
    </row>
    <row r="44" spans="3:162" ht="12.75">
      <c r="C44" s="3"/>
      <c r="D44" s="3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3"/>
      <c r="U44" s="3"/>
      <c r="V44" s="3"/>
      <c r="W44" s="3"/>
      <c r="FF44" s="448"/>
    </row>
    <row r="45" spans="3:162" ht="12.75">
      <c r="C45" s="3"/>
      <c r="D45" s="3"/>
      <c r="E45" s="69" t="s">
        <v>323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3"/>
      <c r="U45" s="3"/>
      <c r="V45" s="3"/>
      <c r="W45" s="3"/>
      <c r="FF45" s="448"/>
    </row>
    <row r="46" spans="3:162" ht="12.75">
      <c r="C46" s="3"/>
      <c r="D46" s="3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3"/>
      <c r="U46" s="3"/>
      <c r="V46" s="3"/>
      <c r="W46" s="3"/>
      <c r="FF46" s="448"/>
    </row>
    <row r="47" spans="3:16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C47" s="37"/>
      <c r="AD47" s="37"/>
      <c r="AE47" s="37"/>
      <c r="AF47" s="37"/>
      <c r="FF47" s="448"/>
    </row>
    <row r="48" spans="3:162" ht="12.75">
      <c r="C48" s="3"/>
      <c r="D48" s="3"/>
      <c r="E48" s="12" t="s">
        <v>327</v>
      </c>
      <c r="F48" s="13"/>
      <c r="G48" s="13"/>
      <c r="H48" s="12"/>
      <c r="I48" s="24" t="s">
        <v>229</v>
      </c>
      <c r="J48" s="1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C48" s="37"/>
      <c r="AD48" s="37"/>
      <c r="AE48" s="37" t="s">
        <v>16</v>
      </c>
      <c r="AF48" s="37"/>
      <c r="FF48" s="448"/>
    </row>
    <row r="49" spans="3:162" ht="12.75">
      <c r="C49" s="3"/>
      <c r="D49" s="82"/>
      <c r="E49" s="12"/>
      <c r="F49" s="13" t="s">
        <v>268</v>
      </c>
      <c r="G49" s="13"/>
      <c r="H49" s="12"/>
      <c r="I49" s="24">
        <v>5</v>
      </c>
      <c r="J49" s="14"/>
      <c r="K49" s="3"/>
      <c r="L49" s="3"/>
      <c r="M49" s="53">
        <f>IF(AC49=1,5%,"")</f>
        <v>0.05</v>
      </c>
      <c r="N49" s="3"/>
      <c r="O49" s="3"/>
      <c r="P49" s="3"/>
      <c r="Q49" s="3"/>
      <c r="R49" s="3"/>
      <c r="S49" s="3"/>
      <c r="T49" s="3"/>
      <c r="U49" s="3"/>
      <c r="V49" s="3"/>
      <c r="W49" s="3"/>
      <c r="AA49" s="58">
        <f>SUM(M49:M58)</f>
        <v>0.05</v>
      </c>
      <c r="AC49" s="54">
        <f>IF(H28&lt;=500.99,1,0)</f>
        <v>1</v>
      </c>
      <c r="AD49" s="54"/>
      <c r="AE49" s="54"/>
      <c r="AF49" s="48"/>
      <c r="FF49" s="448"/>
    </row>
    <row r="50" spans="3:162" ht="12.75">
      <c r="C50" s="3"/>
      <c r="D50" s="82"/>
      <c r="E50" s="12"/>
      <c r="F50" s="13" t="s">
        <v>269</v>
      </c>
      <c r="G50" s="13"/>
      <c r="H50" s="12"/>
      <c r="I50" s="24">
        <v>6</v>
      </c>
      <c r="J50" s="14"/>
      <c r="K50" s="3"/>
      <c r="L50" s="3"/>
      <c r="M50" s="53">
        <f>IF(AE50=2,6%,"")</f>
      </c>
      <c r="N50" s="3"/>
      <c r="O50" s="3"/>
      <c r="P50" s="3"/>
      <c r="Q50" s="3"/>
      <c r="R50" s="3"/>
      <c r="S50" s="3"/>
      <c r="T50" s="3"/>
      <c r="U50" s="3"/>
      <c r="V50" s="3"/>
      <c r="W50" s="3"/>
      <c r="AC50" s="54">
        <f>IF(H28&gt;=501,1,0)</f>
        <v>0</v>
      </c>
      <c r="AD50" s="54">
        <f>IF($H$28&lt;=1000.99,1,0)</f>
        <v>1</v>
      </c>
      <c r="AE50" s="54">
        <f aca="true" t="shared" si="4" ref="AE50:AE57">SUM(AC50:AD50)</f>
        <v>1</v>
      </c>
      <c r="AF50" s="48"/>
      <c r="FF50" s="448"/>
    </row>
    <row r="51" spans="3:162" ht="12.75">
      <c r="C51" s="3"/>
      <c r="D51" s="82"/>
      <c r="E51" s="12"/>
      <c r="F51" s="13" t="s">
        <v>270</v>
      </c>
      <c r="G51" s="13"/>
      <c r="H51" s="12"/>
      <c r="I51" s="24">
        <v>7</v>
      </c>
      <c r="J51" s="14"/>
      <c r="K51" s="3"/>
      <c r="L51" s="3"/>
      <c r="M51" s="53">
        <f>IF(AE51=2,7%,"")</f>
      </c>
      <c r="N51" s="3"/>
      <c r="O51" s="3"/>
      <c r="P51" s="3"/>
      <c r="Q51" s="3"/>
      <c r="R51" s="3"/>
      <c r="S51" s="3"/>
      <c r="T51" s="3"/>
      <c r="U51" s="3"/>
      <c r="V51" s="3"/>
      <c r="W51" s="3"/>
      <c r="AC51" s="54">
        <f>IF(H28&gt;=1001,1,0)</f>
        <v>0</v>
      </c>
      <c r="AD51" s="54">
        <f>IF($H$28&lt;1500.99,1,0)</f>
        <v>1</v>
      </c>
      <c r="AE51" s="54">
        <f t="shared" si="4"/>
        <v>1</v>
      </c>
      <c r="AF51" s="48"/>
      <c r="FF51" s="448"/>
    </row>
    <row r="52" spans="3:162" ht="12.75">
      <c r="C52" s="3"/>
      <c r="D52" s="82"/>
      <c r="E52" s="12"/>
      <c r="F52" s="13" t="s">
        <v>271</v>
      </c>
      <c r="G52" s="13"/>
      <c r="H52" s="12"/>
      <c r="I52" s="24">
        <v>8</v>
      </c>
      <c r="J52" s="14"/>
      <c r="K52" s="3"/>
      <c r="L52" s="3"/>
      <c r="M52" s="53">
        <f>IF(AE52=2,8%,"")</f>
      </c>
      <c r="N52" s="3"/>
      <c r="O52" s="3"/>
      <c r="P52" s="3"/>
      <c r="Q52" s="3"/>
      <c r="R52" s="3"/>
      <c r="S52" s="3"/>
      <c r="T52" s="3"/>
      <c r="U52" s="3"/>
      <c r="V52" s="3"/>
      <c r="W52" s="3"/>
      <c r="AC52" s="54">
        <f>IF(H28&gt;=1501,1,0)</f>
        <v>0</v>
      </c>
      <c r="AD52" s="54">
        <f>IF($H$28&lt;2000.99,1,0)</f>
        <v>1</v>
      </c>
      <c r="AE52" s="54">
        <f t="shared" si="4"/>
        <v>1</v>
      </c>
      <c r="AF52" s="48"/>
      <c r="FF52" s="448"/>
    </row>
    <row r="53" spans="3:162" ht="12.75">
      <c r="C53" s="3"/>
      <c r="D53" s="82"/>
      <c r="E53" s="12"/>
      <c r="F53" s="13" t="s">
        <v>272</v>
      </c>
      <c r="G53" s="13"/>
      <c r="H53" s="12"/>
      <c r="I53" s="24">
        <v>9</v>
      </c>
      <c r="J53" s="14"/>
      <c r="K53" s="3"/>
      <c r="L53" s="3"/>
      <c r="M53" s="53">
        <f>IF(AE53=2,9%,"")</f>
      </c>
      <c r="N53" s="3"/>
      <c r="O53" s="3"/>
      <c r="P53" s="3"/>
      <c r="Q53" s="3"/>
      <c r="R53" s="3"/>
      <c r="S53" s="3"/>
      <c r="T53" s="3"/>
      <c r="U53" s="3"/>
      <c r="V53" s="3"/>
      <c r="W53" s="3"/>
      <c r="AA53" s="58">
        <f>IF(D60&gt;0,M60,AA49)</f>
        <v>0.05</v>
      </c>
      <c r="AC53" s="54">
        <f>IF(H28&gt;=2001,1,0)</f>
        <v>0</v>
      </c>
      <c r="AD53" s="54">
        <f>IF($H$28&lt;2500.99,1,0)</f>
        <v>1</v>
      </c>
      <c r="AE53" s="54">
        <f t="shared" si="4"/>
        <v>1</v>
      </c>
      <c r="AF53" s="48"/>
      <c r="FF53" s="448"/>
    </row>
    <row r="54" spans="3:162" ht="12.75">
      <c r="C54" s="3"/>
      <c r="D54" s="82"/>
      <c r="E54" s="12"/>
      <c r="F54" s="13" t="s">
        <v>273</v>
      </c>
      <c r="G54" s="13"/>
      <c r="H54" s="12"/>
      <c r="I54" s="24">
        <v>10</v>
      </c>
      <c r="J54" s="14"/>
      <c r="K54" s="3"/>
      <c r="L54" s="3"/>
      <c r="M54" s="53">
        <f>IF(AE54=2,10%,"")</f>
      </c>
      <c r="N54" s="3"/>
      <c r="O54" s="3"/>
      <c r="P54" s="3"/>
      <c r="Q54" s="3"/>
      <c r="R54" s="3"/>
      <c r="S54" s="3"/>
      <c r="T54" s="3"/>
      <c r="U54" s="3"/>
      <c r="V54" s="3"/>
      <c r="W54" s="3"/>
      <c r="AC54" s="54">
        <f>IF(H28&gt;=2501,1,0)</f>
        <v>0</v>
      </c>
      <c r="AD54" s="54">
        <f>IF($H$28&lt;3000.99,1,0)</f>
        <v>1</v>
      </c>
      <c r="AE54" s="54">
        <f t="shared" si="4"/>
        <v>1</v>
      </c>
      <c r="AF54" s="48"/>
      <c r="FF54" s="448"/>
    </row>
    <row r="55" spans="3:162" ht="12.75">
      <c r="C55" s="3"/>
      <c r="D55" s="82"/>
      <c r="E55" s="12"/>
      <c r="F55" s="13" t="s">
        <v>274</v>
      </c>
      <c r="G55" s="13"/>
      <c r="H55" s="12"/>
      <c r="I55" s="24">
        <v>11</v>
      </c>
      <c r="J55" s="14"/>
      <c r="K55" s="3"/>
      <c r="L55" s="3"/>
      <c r="M55" s="53">
        <f>IF(AE55=2,11%,"")</f>
      </c>
      <c r="N55" s="3"/>
      <c r="O55" s="3"/>
      <c r="P55" s="3"/>
      <c r="Q55" s="3"/>
      <c r="R55" s="3"/>
      <c r="S55" s="3"/>
      <c r="T55" s="3"/>
      <c r="U55" s="3"/>
      <c r="V55" s="3"/>
      <c r="W55" s="3"/>
      <c r="AC55" s="54">
        <f>IF(H28&gt;=3001,1,0)</f>
        <v>0</v>
      </c>
      <c r="AD55" s="54">
        <f>IF($H$28&lt;3500.99,1,0)</f>
        <v>1</v>
      </c>
      <c r="AE55" s="54">
        <f t="shared" si="4"/>
        <v>1</v>
      </c>
      <c r="AF55" s="48"/>
      <c r="FF55" s="448"/>
    </row>
    <row r="56" spans="3:162" ht="12.75">
      <c r="C56" s="3"/>
      <c r="D56" s="82"/>
      <c r="E56" s="12"/>
      <c r="F56" s="13" t="s">
        <v>275</v>
      </c>
      <c r="G56" s="13"/>
      <c r="H56" s="12"/>
      <c r="I56" s="24">
        <v>12</v>
      </c>
      <c r="J56" s="14"/>
      <c r="K56" s="3"/>
      <c r="L56" s="3"/>
      <c r="M56" s="53">
        <f>IF(AE56=2,12%,"")</f>
      </c>
      <c r="N56" s="3"/>
      <c r="O56" s="3"/>
      <c r="P56" s="3"/>
      <c r="Q56" s="3"/>
      <c r="R56" s="3"/>
      <c r="S56" s="3"/>
      <c r="T56" s="3"/>
      <c r="U56" s="3"/>
      <c r="V56" s="3"/>
      <c r="W56" s="3"/>
      <c r="AC56" s="54">
        <f>IF(H28&gt;=3501,1,0)</f>
        <v>0</v>
      </c>
      <c r="AD56" s="54">
        <f>IF($H$28&lt;4000.99,1,0)</f>
        <v>1</v>
      </c>
      <c r="AE56" s="54">
        <f t="shared" si="4"/>
        <v>1</v>
      </c>
      <c r="AF56" s="48"/>
      <c r="FF56" s="448"/>
    </row>
    <row r="57" spans="3:162" ht="12.75">
      <c r="C57" s="3"/>
      <c r="D57" s="82"/>
      <c r="E57" s="12"/>
      <c r="F57" s="13" t="s">
        <v>276</v>
      </c>
      <c r="G57" s="13"/>
      <c r="H57" s="12"/>
      <c r="I57" s="24">
        <v>13</v>
      </c>
      <c r="J57" s="14"/>
      <c r="K57" s="3"/>
      <c r="L57" s="3"/>
      <c r="M57" s="53">
        <f>IF(AE57=2,13%,"")</f>
      </c>
      <c r="N57" s="3"/>
      <c r="O57" s="3"/>
      <c r="P57" s="3"/>
      <c r="Q57" s="3"/>
      <c r="R57" s="3"/>
      <c r="S57" s="3"/>
      <c r="T57" s="3"/>
      <c r="U57" s="3"/>
      <c r="V57" s="3"/>
      <c r="W57" s="3"/>
      <c r="AC57" s="54">
        <f>IF(H28&gt;=4001,1,0)</f>
        <v>0</v>
      </c>
      <c r="AD57" s="54">
        <f>IF($H$28&lt;4500.99,1,0)</f>
        <v>1</v>
      </c>
      <c r="AE57" s="54">
        <f t="shared" si="4"/>
        <v>1</v>
      </c>
      <c r="AF57" s="48"/>
      <c r="FF57" s="448"/>
    </row>
    <row r="58" spans="3:162" ht="12.75">
      <c r="C58" s="3"/>
      <c r="D58" s="82"/>
      <c r="E58" s="18"/>
      <c r="F58" s="19" t="s">
        <v>277</v>
      </c>
      <c r="G58" s="19"/>
      <c r="H58" s="12"/>
      <c r="I58" s="24">
        <v>14</v>
      </c>
      <c r="J58" s="14"/>
      <c r="K58" s="3"/>
      <c r="L58" s="3"/>
      <c r="M58" s="53">
        <f>IF(AC58=1,14%,"")</f>
      </c>
      <c r="N58" s="3"/>
      <c r="O58" s="3"/>
      <c r="P58" s="3"/>
      <c r="Q58" s="3"/>
      <c r="R58" s="3"/>
      <c r="S58" s="3"/>
      <c r="T58" s="3"/>
      <c r="U58" s="3"/>
      <c r="V58" s="3"/>
      <c r="W58" s="3"/>
      <c r="AC58" s="54">
        <f>IF(H28&gt;=4500,1,0)</f>
        <v>0</v>
      </c>
      <c r="AD58" s="54"/>
      <c r="AE58" s="54"/>
      <c r="AF58" s="48"/>
      <c r="FF58" s="448"/>
    </row>
    <row r="59" spans="3:162" ht="13.5" thickBot="1">
      <c r="C59" s="3"/>
      <c r="D59" s="3"/>
      <c r="E59" s="3"/>
      <c r="F59" s="3"/>
      <c r="G59" s="3"/>
      <c r="H59" s="3"/>
      <c r="I59" s="3"/>
      <c r="J59" s="3"/>
      <c r="K59" s="3"/>
      <c r="L59" s="3"/>
      <c r="M59" s="76"/>
      <c r="N59" s="3"/>
      <c r="O59" s="3"/>
      <c r="P59" s="3"/>
      <c r="Q59" s="3"/>
      <c r="R59" s="3"/>
      <c r="S59" s="3"/>
      <c r="T59" s="3"/>
      <c r="U59" s="3"/>
      <c r="V59" s="3"/>
      <c r="W59" s="3"/>
      <c r="AC59" s="48"/>
      <c r="AD59" s="48"/>
      <c r="AE59" s="48"/>
      <c r="AF59" s="48"/>
      <c r="FF59" s="448"/>
    </row>
    <row r="60" spans="3:162" ht="13.5" thickBot="1">
      <c r="C60" s="3"/>
      <c r="D60" s="294"/>
      <c r="E60" s="544" t="s">
        <v>184</v>
      </c>
      <c r="F60" s="544"/>
      <c r="G60" s="544"/>
      <c r="H60" s="12"/>
      <c r="I60" s="24">
        <v>20</v>
      </c>
      <c r="J60" s="14"/>
      <c r="K60" s="3"/>
      <c r="L60" s="3"/>
      <c r="M60" s="53">
        <f>IF(AE60=2,20%,"")</f>
      </c>
      <c r="N60" s="3"/>
      <c r="O60" s="3"/>
      <c r="P60" s="3"/>
      <c r="Q60" s="3"/>
      <c r="R60" s="3"/>
      <c r="S60" s="3"/>
      <c r="T60" s="3"/>
      <c r="U60" s="3"/>
      <c r="V60" s="3"/>
      <c r="W60" s="3"/>
      <c r="AC60" s="6"/>
      <c r="AD60" s="6"/>
      <c r="AE60" s="272">
        <f>IF(D60&gt;0,2,0)</f>
        <v>0</v>
      </c>
      <c r="AF60" s="6"/>
      <c r="FF60" s="448"/>
    </row>
    <row r="61" spans="3:162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C61" s="6"/>
      <c r="AD61" s="6"/>
      <c r="AE61" s="6"/>
      <c r="AF61" s="6"/>
      <c r="FF61" s="448"/>
    </row>
    <row r="62" spans="3:162" ht="12.75">
      <c r="C62" s="3"/>
      <c r="D62" s="3"/>
      <c r="E62" s="67" t="s">
        <v>91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C62" s="6"/>
      <c r="AD62" s="6"/>
      <c r="AE62" s="6"/>
      <c r="AF62" s="6"/>
      <c r="FF62" s="448"/>
    </row>
    <row r="63" spans="3:162" ht="12.75">
      <c r="C63" s="3"/>
      <c r="D63" s="3"/>
      <c r="E63" s="67" t="s">
        <v>90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FF63" s="448"/>
    </row>
    <row r="64" spans="3:162" ht="12.75" hidden="1">
      <c r="C64" s="3"/>
      <c r="D64" s="3"/>
      <c r="E64" s="6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FF64" s="448"/>
    </row>
    <row r="65" spans="3:162" ht="15" customHeight="1" hidden="1">
      <c r="C65" s="3"/>
      <c r="D65" s="3"/>
      <c r="E65" s="268"/>
      <c r="F65" s="268"/>
      <c r="G65" s="268"/>
      <c r="H65" s="268"/>
      <c r="I65" s="268"/>
      <c r="J65" s="268"/>
      <c r="K65" s="268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9"/>
      <c r="Y65" s="149"/>
      <c r="FF65" s="448"/>
    </row>
    <row r="66" spans="3:162" ht="12.75" hidden="1">
      <c r="C66" s="3"/>
      <c r="D66" s="3"/>
      <c r="E66" s="163"/>
      <c r="F66" s="164"/>
      <c r="G66" s="260"/>
      <c r="H66" s="601"/>
      <c r="I66" s="601"/>
      <c r="J66" s="601"/>
      <c r="K66" s="147"/>
      <c r="L66" s="147"/>
      <c r="M66" s="146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9"/>
      <c r="Y66" s="167"/>
      <c r="AA66" s="89"/>
      <c r="FF66" s="448"/>
    </row>
    <row r="67" spans="3:162" ht="12.75">
      <c r="C67" s="3"/>
      <c r="D67" s="3"/>
      <c r="E67" s="149"/>
      <c r="F67" s="147"/>
      <c r="G67" s="165"/>
      <c r="H67" s="166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9"/>
      <c r="Y67" s="149"/>
      <c r="FF67" s="448"/>
    </row>
    <row r="68" spans="3:162" ht="13.5" thickBo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FF68" s="448"/>
    </row>
    <row r="69" spans="3:162" ht="13.5" thickBot="1">
      <c r="C69" s="3"/>
      <c r="D69" s="294"/>
      <c r="E69" s="500" t="s">
        <v>53</v>
      </c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3"/>
      <c r="R69" s="3"/>
      <c r="S69" s="575">
        <v>35</v>
      </c>
      <c r="T69" s="576"/>
      <c r="U69" s="555" t="s">
        <v>229</v>
      </c>
      <c r="V69" s="3"/>
      <c r="W69" s="3"/>
      <c r="FF69" s="448"/>
    </row>
    <row r="70" spans="3:162" ht="12.75">
      <c r="C70" s="3"/>
      <c r="D70" s="3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3"/>
      <c r="R70" s="3"/>
      <c r="S70" s="577"/>
      <c r="T70" s="578"/>
      <c r="U70" s="555"/>
      <c r="V70" s="3"/>
      <c r="W70" s="3"/>
      <c r="FF70" s="448"/>
    </row>
    <row r="71" spans="3:162" ht="12.75">
      <c r="C71" s="3"/>
      <c r="D71" s="3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3"/>
      <c r="R71" s="3"/>
      <c r="S71" s="577"/>
      <c r="T71" s="578"/>
      <c r="U71" s="555"/>
      <c r="V71" s="3"/>
      <c r="W71" s="3"/>
      <c r="FF71" s="448"/>
    </row>
    <row r="72" spans="3:162" ht="12.75">
      <c r="C72" s="3"/>
      <c r="D72" s="3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3"/>
      <c r="R72" s="3"/>
      <c r="S72" s="579"/>
      <c r="T72" s="580"/>
      <c r="U72" s="555"/>
      <c r="V72" s="3"/>
      <c r="W72" s="3"/>
      <c r="Y72" s="132"/>
      <c r="Z72" s="132"/>
      <c r="AA72" s="132"/>
      <c r="FF72" s="448"/>
    </row>
    <row r="73" spans="3:162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Y73" s="132"/>
      <c r="Z73" s="132"/>
      <c r="AA73" s="132"/>
      <c r="AB73" s="79" t="s">
        <v>104</v>
      </c>
      <c r="FF73" s="448"/>
    </row>
    <row r="74" spans="3:162" ht="12.75">
      <c r="C74" s="3"/>
      <c r="D74" s="3"/>
      <c r="E74" s="67" t="s">
        <v>484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S74" s="3"/>
      <c r="T74" s="3"/>
      <c r="W74" s="10"/>
      <c r="Y74" s="133">
        <f>IF(D69&gt;0,L36*0.35,"")</f>
      </c>
      <c r="Z74" s="132"/>
      <c r="AB74" s="541">
        <f>Y74</f>
      </c>
      <c r="AC74" s="465"/>
      <c r="FF74" s="448"/>
    </row>
    <row r="75" spans="3:162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132"/>
      <c r="Z75" s="132"/>
      <c r="AA75" s="132"/>
      <c r="FF75" s="448"/>
    </row>
    <row r="76" spans="3:162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103</v>
      </c>
      <c r="S76" s="3"/>
      <c r="T76" s="3"/>
      <c r="U76" s="541">
        <f>Y76</f>
        <v>0</v>
      </c>
      <c r="V76" s="465"/>
      <c r="W76" s="10"/>
      <c r="Y76" s="133">
        <f>IF(D69&gt;0,L36-Y74,L36)</f>
        <v>0</v>
      </c>
      <c r="Z76" s="132"/>
      <c r="AA76" s="132"/>
      <c r="FF76" s="448"/>
    </row>
    <row r="77" spans="3:162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Y77" s="132"/>
      <c r="Z77" s="132"/>
      <c r="AA77" s="132"/>
      <c r="FF77" s="448"/>
    </row>
    <row r="78" spans="25:27" ht="12.75">
      <c r="Y78" s="132"/>
      <c r="Z78" s="132"/>
      <c r="AA78" s="132"/>
    </row>
  </sheetData>
  <sheetProtection password="8090" sheet="1" objects="1" scenarios="1"/>
  <mergeCells count="42">
    <mergeCell ref="E69:P72"/>
    <mergeCell ref="H66:J66"/>
    <mergeCell ref="E60:G60"/>
    <mergeCell ref="H36:I36"/>
    <mergeCell ref="J36:K36"/>
    <mergeCell ref="H37:I37"/>
    <mergeCell ref="J37:K37"/>
    <mergeCell ref="L36:N36"/>
    <mergeCell ref="AB15:AB17"/>
    <mergeCell ref="AC15:AC17"/>
    <mergeCell ref="E11:G11"/>
    <mergeCell ref="E12:G12"/>
    <mergeCell ref="M15:M17"/>
    <mergeCell ref="L15:L17"/>
    <mergeCell ref="Z15:Z17"/>
    <mergeCell ref="AA15:AA17"/>
    <mergeCell ref="G15:G17"/>
    <mergeCell ref="R15:R17"/>
    <mergeCell ref="AC36:AE36"/>
    <mergeCell ref="AI15:AI17"/>
    <mergeCell ref="AG15:AG17"/>
    <mergeCell ref="AF15:AF17"/>
    <mergeCell ref="AD15:AD17"/>
    <mergeCell ref="AE15:AE17"/>
    <mergeCell ref="AH15:AH17"/>
    <mergeCell ref="F4:S4"/>
    <mergeCell ref="S15:S17"/>
    <mergeCell ref="N15:N17"/>
    <mergeCell ref="O15:O17"/>
    <mergeCell ref="P15:P17"/>
    <mergeCell ref="Q15:Q17"/>
    <mergeCell ref="U76:V76"/>
    <mergeCell ref="AB74:AC74"/>
    <mergeCell ref="U69:U72"/>
    <mergeCell ref="S69:T72"/>
    <mergeCell ref="H28:I28"/>
    <mergeCell ref="J31:K31"/>
    <mergeCell ref="O31:P31"/>
    <mergeCell ref="H15:H17"/>
    <mergeCell ref="I15:I17"/>
    <mergeCell ref="J15:J17"/>
    <mergeCell ref="K15:K17"/>
  </mergeCells>
  <printOptions horizontalCentered="1"/>
  <pageMargins left="0.1968503937007874" right="0.1968503937007874" top="0.3937007874015748" bottom="0.2755905511811024" header="0.2755905511811024" footer="0.1968503937007874"/>
  <pageSetup horizontalDpi="600" verticalDpi="600" orientation="portrait" paperSize="9" scale="85" r:id="rId1"/>
  <headerFooter alignWithMargins="0">
    <oddFooter>&amp;Cfoglio "QCC_Scheda B"&amp;R&amp;11pag.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4:AI61"/>
  <sheetViews>
    <sheetView workbookViewId="0" topLeftCell="A1">
      <selection activeCell="AM16" sqref="AM16"/>
    </sheetView>
  </sheetViews>
  <sheetFormatPr defaultColWidth="9.140625" defaultRowHeight="12.75"/>
  <cols>
    <col min="1" max="1" width="7.00390625" style="6" customWidth="1"/>
    <col min="2" max="2" width="1.57421875" style="0" customWidth="1"/>
    <col min="3" max="3" width="2.8515625" style="0" customWidth="1"/>
    <col min="6" max="6" width="10.57421875" style="0" customWidth="1"/>
    <col min="7" max="7" width="11.00390625" style="0" customWidth="1"/>
    <col min="8" max="8" width="3.00390625" style="0" customWidth="1"/>
    <col min="9" max="9" width="11.140625" style="0" customWidth="1"/>
    <col min="10" max="10" width="7.7109375" style="0" customWidth="1"/>
    <col min="11" max="11" width="5.28125" style="0" customWidth="1"/>
    <col min="12" max="12" width="5.57421875" style="0" customWidth="1"/>
    <col min="13" max="13" width="5.7109375" style="0" customWidth="1"/>
    <col min="15" max="15" width="3.28125" style="0" customWidth="1"/>
    <col min="16" max="16" width="12.8515625" style="0" customWidth="1"/>
    <col min="17" max="17" width="1.28515625" style="0" customWidth="1"/>
    <col min="18" max="18" width="8.421875" style="0" hidden="1" customWidth="1"/>
    <col min="19" max="19" width="9.7109375" style="6" hidden="1" customWidth="1"/>
    <col min="20" max="20" width="10.7109375" style="6" hidden="1" customWidth="1"/>
    <col min="21" max="21" width="10.8515625" style="6" hidden="1" customWidth="1"/>
    <col min="22" max="34" width="8.8515625" style="0" hidden="1" customWidth="1"/>
    <col min="35" max="35" width="1.57421875" style="0" customWidth="1"/>
  </cols>
  <sheetData>
    <row r="4" spans="2:35" ht="34.5" customHeight="1">
      <c r="B4" s="3"/>
      <c r="C4" s="3"/>
      <c r="D4" s="433" t="s">
        <v>502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77" t="s">
        <v>185</v>
      </c>
      <c r="AI4" s="448"/>
    </row>
    <row r="5" spans="2:35" ht="12.75">
      <c r="B5" s="3"/>
      <c r="C5" s="581" t="s">
        <v>315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3"/>
      <c r="R5" s="3"/>
      <c r="AI5" s="448"/>
    </row>
    <row r="6" spans="2:35" ht="37.5" customHeight="1">
      <c r="B6" s="3"/>
      <c r="C6" s="3"/>
      <c r="D6" s="551" t="s">
        <v>316</v>
      </c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3"/>
      <c r="Q6" s="3"/>
      <c r="R6" s="3"/>
      <c r="AI6" s="448"/>
    </row>
    <row r="7" spans="2:35" ht="12.75">
      <c r="B7" s="3"/>
      <c r="C7" s="3"/>
      <c r="D7" s="3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U7" s="126"/>
      <c r="V7" s="5"/>
      <c r="W7" s="3"/>
      <c r="X7" s="3"/>
      <c r="Y7" s="3"/>
      <c r="Z7" s="3"/>
      <c r="AA7" s="3"/>
      <c r="AI7" s="448"/>
    </row>
    <row r="8" spans="2:35" ht="12.75">
      <c r="B8" s="3"/>
      <c r="C8" s="3"/>
      <c r="D8" s="3"/>
      <c r="E8" s="3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U8" s="126"/>
      <c r="V8" s="3"/>
      <c r="W8" s="3"/>
      <c r="X8" s="3"/>
      <c r="Y8" s="3"/>
      <c r="Z8" s="3"/>
      <c r="AA8" s="3"/>
      <c r="AI8" s="448"/>
    </row>
    <row r="9" spans="2:35" ht="12.75">
      <c r="B9" s="3"/>
      <c r="C9" s="3"/>
      <c r="D9" s="551" t="s">
        <v>505</v>
      </c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3"/>
      <c r="R9" s="3"/>
      <c r="AI9" s="448"/>
    </row>
    <row r="10" spans="2:35" ht="12.75">
      <c r="B10" s="3"/>
      <c r="C10" s="3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3"/>
      <c r="R10" s="3"/>
      <c r="AI10" s="448"/>
    </row>
    <row r="11" spans="2:35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AI11" s="448"/>
    </row>
    <row r="12" spans="2:35" ht="12.75">
      <c r="B12" s="3"/>
      <c r="C12" s="3"/>
      <c r="D12" s="3" t="s">
        <v>328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AI12" s="448"/>
    </row>
    <row r="13" spans="2:3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AI13" s="448"/>
    </row>
    <row r="14" spans="2:35" ht="12.75">
      <c r="B14" s="3"/>
      <c r="C14" s="3"/>
      <c r="D14" s="3"/>
      <c r="E14" s="3"/>
      <c r="F14" s="96" t="s">
        <v>261</v>
      </c>
      <c r="G14" s="148">
        <f>'Valore OMI_Usi'!S21</f>
        <v>0</v>
      </c>
      <c r="H14" s="3" t="s">
        <v>259</v>
      </c>
      <c r="I14" s="3"/>
      <c r="J14" s="97"/>
      <c r="K14" s="3"/>
      <c r="L14" s="3"/>
      <c r="M14" s="3"/>
      <c r="N14" s="3"/>
      <c r="O14" s="3"/>
      <c r="P14" s="3"/>
      <c r="Q14" s="3"/>
      <c r="R14" s="3"/>
      <c r="AI14" s="448"/>
    </row>
    <row r="15" spans="2:3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AI15" s="448"/>
    </row>
    <row r="16" spans="2:3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AI16" s="448"/>
    </row>
    <row r="17" spans="2:35" ht="12.75">
      <c r="B17" s="3"/>
      <c r="C17" s="3"/>
      <c r="D17" s="98" t="s">
        <v>153</v>
      </c>
      <c r="E17" s="415"/>
      <c r="F17" s="3" t="s">
        <v>232</v>
      </c>
      <c r="G17" s="98" t="s">
        <v>154</v>
      </c>
      <c r="H17" s="527"/>
      <c r="I17" s="528"/>
      <c r="J17" s="3" t="s">
        <v>232</v>
      </c>
      <c r="K17" s="98" t="s">
        <v>155</v>
      </c>
      <c r="L17" s="572">
        <f>E17+(H17*0.6)</f>
        <v>0</v>
      </c>
      <c r="M17" s="573"/>
      <c r="N17" s="3" t="s">
        <v>232</v>
      </c>
      <c r="O17" s="3"/>
      <c r="P17" s="3"/>
      <c r="Q17" s="3"/>
      <c r="R17" s="3"/>
      <c r="AI17" s="448"/>
    </row>
    <row r="18" spans="2:3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AI18" s="448"/>
    </row>
    <row r="19" spans="2:35" ht="12.75">
      <c r="B19" s="3"/>
      <c r="C19" s="3"/>
      <c r="D19" s="5" t="s">
        <v>329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8"/>
      <c r="T19" s="48"/>
      <c r="U19" s="48"/>
      <c r="V19" s="37"/>
      <c r="AI19" s="448"/>
    </row>
    <row r="20" spans="2:35" ht="13.5" thickBot="1">
      <c r="B20" s="3"/>
      <c r="C20" s="3"/>
      <c r="D20" s="117" t="str">
        <f>IF(S27=0,"Spuntare una delle percentuali","")</f>
        <v>Spuntare una delle percentuali</v>
      </c>
      <c r="E20" s="3"/>
      <c r="F20" s="3"/>
      <c r="G20" s="3"/>
      <c r="H20" s="3"/>
      <c r="I20" s="117">
        <f>IF(S27&gt;1,"Errore , spuntare solo una delle percentuali","")</f>
      </c>
      <c r="J20" s="3"/>
      <c r="K20" s="3"/>
      <c r="L20" s="3"/>
      <c r="M20" s="3"/>
      <c r="N20" s="3"/>
      <c r="O20" s="3"/>
      <c r="P20" s="3"/>
      <c r="Q20" s="3"/>
      <c r="R20" s="3"/>
      <c r="S20" s="48"/>
      <c r="T20" s="48"/>
      <c r="U20" s="48"/>
      <c r="V20" s="37"/>
      <c r="AI20" s="448"/>
    </row>
    <row r="21" spans="2:35" ht="13.5" thickBot="1">
      <c r="B21" s="3"/>
      <c r="C21" s="294"/>
      <c r="D21" s="120" t="s">
        <v>54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4">
        <f>IF(C21&gt;0,1,"")</f>
      </c>
      <c r="T21" s="54">
        <f>IF(C21&gt;0,10%,"")</f>
      </c>
      <c r="U21" s="54">
        <f>SUM(T21:T25)</f>
        <v>0</v>
      </c>
      <c r="V21" s="37"/>
      <c r="AI21" s="448"/>
    </row>
    <row r="22" spans="2:35" ht="13.5" thickBot="1">
      <c r="B22" s="3"/>
      <c r="C22" s="1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60"/>
      <c r="T22" s="160"/>
      <c r="U22" s="48"/>
      <c r="V22" s="37"/>
      <c r="AI22" s="448"/>
    </row>
    <row r="23" spans="2:35" ht="13.5" thickBot="1">
      <c r="B23" s="3"/>
      <c r="C23" s="294"/>
      <c r="D23" s="120" t="s">
        <v>55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4">
        <f>IF(C23&gt;0,1,"")</f>
      </c>
      <c r="T23" s="54">
        <f>IF(C23&gt;0,10%,"")</f>
      </c>
      <c r="U23" s="48"/>
      <c r="V23" s="37"/>
      <c r="AI23" s="448"/>
    </row>
    <row r="24" spans="2:35" ht="13.5" thickBot="1">
      <c r="B24" s="3"/>
      <c r="C24" s="8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60"/>
      <c r="T24" s="160"/>
      <c r="U24" s="48"/>
      <c r="V24" s="37"/>
      <c r="AI24" s="448"/>
    </row>
    <row r="25" spans="2:35" ht="13.5" thickBot="1">
      <c r="B25" s="3"/>
      <c r="C25" s="294"/>
      <c r="D25" s="120" t="s">
        <v>56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4">
        <f>IF(C25&gt;0,1,"")</f>
      </c>
      <c r="T25" s="54">
        <f>IF(C25&gt;0,7%,"")</f>
      </c>
      <c r="U25" s="48"/>
      <c r="V25" s="37"/>
      <c r="AI25" s="448"/>
    </row>
    <row r="26" spans="2:35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60"/>
      <c r="T26" s="160"/>
      <c r="U26" s="48"/>
      <c r="V26" s="37"/>
      <c r="AI26" s="448"/>
    </row>
    <row r="27" spans="2:35" ht="12.75">
      <c r="B27" s="3"/>
      <c r="C27" s="3"/>
      <c r="D27" s="3"/>
      <c r="J27" s="3"/>
      <c r="K27" s="98" t="s">
        <v>152</v>
      </c>
      <c r="L27" s="608">
        <f>G14*L17</f>
        <v>0</v>
      </c>
      <c r="M27" s="608"/>
      <c r="N27" s="177">
        <f>U21</f>
        <v>0</v>
      </c>
      <c r="O27" s="127" t="s">
        <v>156</v>
      </c>
      <c r="P27" s="179">
        <f>L27*N27</f>
        <v>0</v>
      </c>
      <c r="Q27" s="3"/>
      <c r="R27" s="3"/>
      <c r="S27" s="54">
        <f>SUM(S21:S25)</f>
        <v>0</v>
      </c>
      <c r="T27" s="182">
        <f>P27</f>
        <v>0</v>
      </c>
      <c r="U27" s="48"/>
      <c r="V27" s="37"/>
      <c r="AI27" s="448"/>
    </row>
    <row r="28" spans="2:35" ht="12.75">
      <c r="B28" s="3"/>
      <c r="C28" s="3"/>
      <c r="D28" s="3"/>
      <c r="J28" s="107"/>
      <c r="K28" s="99" t="s">
        <v>152</v>
      </c>
      <c r="L28" s="473" t="s">
        <v>108</v>
      </c>
      <c r="M28" s="473"/>
      <c r="N28" s="90" t="s">
        <v>471</v>
      </c>
      <c r="O28" s="90" t="s">
        <v>156</v>
      </c>
      <c r="P28" s="273" t="s">
        <v>157</v>
      </c>
      <c r="Q28" s="3"/>
      <c r="R28" s="3"/>
      <c r="S28" s="48"/>
      <c r="T28" s="48"/>
      <c r="U28" s="48"/>
      <c r="V28" s="37"/>
      <c r="AI28" s="448"/>
    </row>
    <row r="29" spans="2:35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8"/>
      <c r="T29" s="48"/>
      <c r="U29" s="48"/>
      <c r="V29" s="37"/>
      <c r="AI29" s="448"/>
    </row>
    <row r="30" spans="2:35" ht="12.75">
      <c r="B30" s="3"/>
      <c r="C30" s="3"/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AI30" s="448"/>
    </row>
    <row r="31" spans="2:35" ht="12.75">
      <c r="B31" s="3"/>
      <c r="C31" s="3"/>
      <c r="D31" s="67" t="s">
        <v>158</v>
      </c>
      <c r="E31" s="67"/>
      <c r="F31" s="67"/>
      <c r="G31" s="67"/>
      <c r="H31" s="67"/>
      <c r="I31" s="67"/>
      <c r="J31" s="67"/>
      <c r="K31" s="3"/>
      <c r="L31" s="3"/>
      <c r="M31" s="3"/>
      <c r="N31" s="3"/>
      <c r="O31" s="3"/>
      <c r="P31" s="3"/>
      <c r="Q31" s="3"/>
      <c r="R31" s="3"/>
      <c r="AI31" s="448"/>
    </row>
    <row r="32" spans="2:35" ht="12.75">
      <c r="B32" s="3"/>
      <c r="C32" s="3"/>
      <c r="D32" s="67"/>
      <c r="E32" s="69" t="s">
        <v>191</v>
      </c>
      <c r="F32" s="67"/>
      <c r="G32" s="67"/>
      <c r="H32" s="67"/>
      <c r="I32" s="67"/>
      <c r="J32" s="67"/>
      <c r="K32" s="3"/>
      <c r="L32" s="3"/>
      <c r="M32" s="3"/>
      <c r="N32" s="3"/>
      <c r="O32" s="3"/>
      <c r="P32" s="3"/>
      <c r="Q32" s="3"/>
      <c r="R32" s="3"/>
      <c r="AI32" s="448"/>
    </row>
    <row r="33" spans="2:35" ht="12.75">
      <c r="B33" s="3"/>
      <c r="C33" s="3"/>
      <c r="D33" s="67"/>
      <c r="E33" s="69" t="s">
        <v>183</v>
      </c>
      <c r="F33" s="67"/>
      <c r="G33" s="67"/>
      <c r="H33" s="67"/>
      <c r="I33" s="67"/>
      <c r="J33" s="67"/>
      <c r="K33" s="3"/>
      <c r="L33" s="3"/>
      <c r="M33" s="3"/>
      <c r="N33" s="3"/>
      <c r="O33" s="3"/>
      <c r="P33" s="3"/>
      <c r="Q33" s="3"/>
      <c r="R33" s="3"/>
      <c r="AI33" s="448"/>
    </row>
    <row r="34" spans="2:35" ht="12.75">
      <c r="B34" s="3"/>
      <c r="C34" s="3"/>
      <c r="D34" s="3"/>
      <c r="E34" s="11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AI34" s="448"/>
    </row>
    <row r="35" spans="2:35" ht="12.75">
      <c r="B35" s="3"/>
      <c r="C35" s="3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AI35" s="448"/>
    </row>
    <row r="36" spans="2:35" ht="12.75" hidden="1">
      <c r="B36" s="3"/>
      <c r="C36" s="3"/>
      <c r="D36" s="3"/>
      <c r="E36" s="6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AI36" s="448"/>
    </row>
    <row r="37" spans="2:35" ht="12.75" hidden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AI37" s="448"/>
    </row>
    <row r="38" spans="2:35" ht="12.75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AI38" s="448"/>
    </row>
    <row r="39" spans="2:35" ht="12.75" hidden="1">
      <c r="B39" s="3"/>
      <c r="C39" s="82"/>
      <c r="D39" s="10"/>
      <c r="E39" s="10"/>
      <c r="F39" s="10"/>
      <c r="G39" s="10"/>
      <c r="H39" s="10"/>
      <c r="I39" s="10"/>
      <c r="J39" s="10"/>
      <c r="K39" s="10"/>
      <c r="L39" s="146"/>
      <c r="M39" s="3"/>
      <c r="N39" s="130"/>
      <c r="O39" s="130"/>
      <c r="P39" s="3"/>
      <c r="Q39" s="3"/>
      <c r="R39" s="3"/>
      <c r="AI39" s="448"/>
    </row>
    <row r="40" spans="2:35" ht="12.75" hidden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30"/>
      <c r="O40" s="130"/>
      <c r="P40" s="3"/>
      <c r="Q40" s="3"/>
      <c r="R40" s="3"/>
      <c r="T40" s="134"/>
      <c r="U40" s="134"/>
      <c r="AI40" s="448"/>
    </row>
    <row r="41" spans="2:35" ht="12.75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30"/>
      <c r="O41" s="130"/>
      <c r="P41" s="3"/>
      <c r="Q41" s="3"/>
      <c r="R41" s="3"/>
      <c r="T41" s="134"/>
      <c r="U41" s="134"/>
      <c r="AI41" s="448"/>
    </row>
    <row r="42" spans="2:35" ht="12.75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30"/>
      <c r="O42" s="130"/>
      <c r="P42" s="3"/>
      <c r="Q42" s="3"/>
      <c r="R42" s="3"/>
      <c r="T42" s="134"/>
      <c r="U42" s="134"/>
      <c r="AI42" s="448"/>
    </row>
    <row r="43" spans="2:35" ht="12.75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8"/>
      <c r="T43" s="48"/>
      <c r="U43" s="48"/>
      <c r="AI43" s="448"/>
    </row>
    <row r="44" spans="2:35" ht="12.75" hidden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79"/>
      <c r="N44" s="3"/>
      <c r="O44" s="199"/>
      <c r="P44" s="10"/>
      <c r="Q44" s="3"/>
      <c r="S44" s="49">
        <f>IF(T44&gt;0,T44,"")</f>
      </c>
      <c r="T44" s="54">
        <f>IF(C39&gt;0,T27*N39/100,"")</f>
      </c>
      <c r="U44" s="48">
        <f>IF(C39&gt;0,1,0)</f>
        <v>0</v>
      </c>
      <c r="AI44" s="448"/>
    </row>
    <row r="45" spans="2:35" ht="13.5" thickBo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9">
        <f aca="true" t="shared" si="0" ref="S45:S52">IF(T45&gt;0,T45,"")</f>
      </c>
      <c r="T45" s="48"/>
      <c r="U45" s="48"/>
      <c r="AI45" s="448"/>
    </row>
    <row r="46" spans="2:35" ht="13.5" thickBot="1">
      <c r="B46" s="3"/>
      <c r="C46" s="294"/>
      <c r="D46" s="500" t="s">
        <v>52</v>
      </c>
      <c r="E46" s="500"/>
      <c r="F46" s="500"/>
      <c r="G46" s="500"/>
      <c r="H46" s="500"/>
      <c r="I46" s="500"/>
      <c r="J46" s="500"/>
      <c r="K46" s="500"/>
      <c r="L46" s="3"/>
      <c r="N46" s="552">
        <v>35</v>
      </c>
      <c r="O46" s="577" t="s">
        <v>229</v>
      </c>
      <c r="Q46" s="3"/>
      <c r="R46" s="3"/>
      <c r="S46" s="49">
        <f t="shared" si="0"/>
      </c>
      <c r="T46" s="48"/>
      <c r="U46" s="48"/>
      <c r="AI46" s="448"/>
    </row>
    <row r="47" spans="2:35" ht="12.75">
      <c r="B47" s="3"/>
      <c r="C47" s="3"/>
      <c r="D47" s="500"/>
      <c r="E47" s="500"/>
      <c r="F47" s="500"/>
      <c r="G47" s="500"/>
      <c r="H47" s="500"/>
      <c r="I47" s="500"/>
      <c r="J47" s="500"/>
      <c r="K47" s="500"/>
      <c r="L47" s="3"/>
      <c r="M47" s="3"/>
      <c r="N47" s="553"/>
      <c r="O47" s="577"/>
      <c r="P47" s="3"/>
      <c r="Q47" s="3"/>
      <c r="R47" s="3"/>
      <c r="S47" s="49">
        <f t="shared" si="0"/>
      </c>
      <c r="T47" s="48"/>
      <c r="U47" s="48"/>
      <c r="AI47" s="448"/>
    </row>
    <row r="48" spans="2:35" ht="12.75">
      <c r="B48" s="3"/>
      <c r="C48" s="3"/>
      <c r="D48" s="500"/>
      <c r="E48" s="500"/>
      <c r="F48" s="500"/>
      <c r="G48" s="500"/>
      <c r="H48" s="500"/>
      <c r="I48" s="500"/>
      <c r="J48" s="500"/>
      <c r="K48" s="500"/>
      <c r="L48" s="3"/>
      <c r="M48" s="3"/>
      <c r="N48" s="553"/>
      <c r="O48" s="577"/>
      <c r="P48" s="3"/>
      <c r="Q48" s="3"/>
      <c r="R48" s="3"/>
      <c r="S48" s="49">
        <f t="shared" si="0"/>
      </c>
      <c r="T48" s="48"/>
      <c r="U48" s="48"/>
      <c r="AI48" s="448"/>
    </row>
    <row r="49" spans="2:35" ht="12.75">
      <c r="B49" s="3"/>
      <c r="C49" s="3"/>
      <c r="D49" s="500"/>
      <c r="E49" s="500"/>
      <c r="F49" s="500"/>
      <c r="G49" s="500"/>
      <c r="H49" s="500"/>
      <c r="I49" s="500"/>
      <c r="J49" s="500"/>
      <c r="K49" s="500"/>
      <c r="L49" s="3"/>
      <c r="M49" s="3"/>
      <c r="N49" s="554"/>
      <c r="O49" s="577"/>
      <c r="P49" s="3"/>
      <c r="Q49" s="3"/>
      <c r="R49" s="3"/>
      <c r="S49" s="49">
        <f t="shared" si="0"/>
      </c>
      <c r="T49" s="48"/>
      <c r="U49" s="48"/>
      <c r="AI49" s="448"/>
    </row>
    <row r="50" spans="2:35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30"/>
      <c r="O50" s="130"/>
      <c r="P50" s="3"/>
      <c r="Q50" s="3"/>
      <c r="R50" s="3"/>
      <c r="S50" s="49">
        <f t="shared" si="0"/>
      </c>
      <c r="T50" s="48"/>
      <c r="U50" s="48"/>
      <c r="AI50" s="448"/>
    </row>
    <row r="51" spans="2:35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R51" s="3"/>
      <c r="S51" s="49">
        <f t="shared" si="0"/>
      </c>
      <c r="T51" s="54">
        <f>IF(U52=2,T27*N46/100,"")</f>
      </c>
      <c r="U51" s="48">
        <f>IF(C46&gt;0,2,0)</f>
        <v>0</v>
      </c>
      <c r="X51" s="79" t="s">
        <v>104</v>
      </c>
      <c r="Y51" s="541">
        <f>S51</f>
      </c>
      <c r="Z51" s="465"/>
      <c r="AI51" s="448"/>
    </row>
    <row r="52" spans="2:35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9"/>
      <c r="N52" s="3"/>
      <c r="O52" s="199"/>
      <c r="P52" s="10"/>
      <c r="Q52" s="3"/>
      <c r="R52" s="3"/>
      <c r="S52" s="49">
        <f t="shared" si="0"/>
      </c>
      <c r="T52" s="54">
        <f>IF(U52=3,(T27*N39/100)*N46/100,"")</f>
      </c>
      <c r="U52" s="48">
        <f>SUM(U44:U51)</f>
        <v>0</v>
      </c>
      <c r="AI52" s="448"/>
    </row>
    <row r="53" spans="2:35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8"/>
      <c r="T53" s="181">
        <f>SUM(S44:S52)</f>
        <v>0</v>
      </c>
      <c r="U53" s="48" t="s">
        <v>48</v>
      </c>
      <c r="AI53" s="448"/>
    </row>
    <row r="54" spans="2:3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8"/>
      <c r="T54" s="48"/>
      <c r="U54" s="48"/>
      <c r="AI54" s="448"/>
    </row>
    <row r="55" spans="2:3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 t="s">
        <v>103</v>
      </c>
      <c r="N55" s="3"/>
      <c r="O55" s="541">
        <f>T55</f>
        <v>0</v>
      </c>
      <c r="P55" s="465"/>
      <c r="Q55" s="3"/>
      <c r="R55" s="3"/>
      <c r="S55" s="48"/>
      <c r="T55" s="181">
        <f>T27-T53</f>
        <v>0</v>
      </c>
      <c r="U55" s="48"/>
      <c r="AI55" s="448"/>
    </row>
    <row r="56" spans="2:3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T56" s="134"/>
      <c r="U56" s="134"/>
      <c r="AI56" s="448"/>
    </row>
    <row r="57" spans="20:21" ht="12.75">
      <c r="T57" s="134"/>
      <c r="U57" s="134"/>
    </row>
    <row r="58" spans="20:21" ht="12.75">
      <c r="T58" s="134"/>
      <c r="U58" s="134"/>
    </row>
    <row r="61" ht="12.75">
      <c r="D61" s="149"/>
    </row>
  </sheetData>
  <sheetProtection password="8090" sheet="1" objects="1" scenarios="1"/>
  <mergeCells count="12">
    <mergeCell ref="C5:P5"/>
    <mergeCell ref="D46:K49"/>
    <mergeCell ref="N46:N49"/>
    <mergeCell ref="O55:P55"/>
    <mergeCell ref="L27:M27"/>
    <mergeCell ref="L28:M28"/>
    <mergeCell ref="D9:P10"/>
    <mergeCell ref="Y51:Z51"/>
    <mergeCell ref="O46:O49"/>
    <mergeCell ref="D6:O6"/>
    <mergeCell ref="H17:I17"/>
    <mergeCell ref="L17:M17"/>
  </mergeCells>
  <printOptions horizontalCentered="1"/>
  <pageMargins left="0.19" right="0.27" top="0.35433070866141736" bottom="0.3937007874015748" header="0.24" footer="0.2362204724409449"/>
  <pageSetup horizontalDpi="600" verticalDpi="600" orientation="portrait" paperSize="9" scale="90" r:id="rId1"/>
  <headerFooter alignWithMargins="0">
    <oddFooter>&amp;Cfoglio "QCC_Scheda C"&amp;R&amp;9pag.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glaura</dc:creator>
  <cp:keywords/>
  <dc:description/>
  <cp:lastModifiedBy>glaura</cp:lastModifiedBy>
  <cp:lastPrinted>2020-02-13T16:20:36Z</cp:lastPrinted>
  <dcterms:created xsi:type="dcterms:W3CDTF">2019-01-15T16:11:46Z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